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доходы 2022" sheetId="1" r:id="rId1"/>
  </sheets>
  <definedNames>
    <definedName name="_xlnm._FilterDatabase" localSheetId="0" hidden="1">'доходы 2022'!$A$5:$J$140</definedName>
    <definedName name="a">#REF!</definedName>
    <definedName name="_xlnm.Print_Area" localSheetId="0">'доходы 2022'!$A$1:$J$140</definedName>
    <definedName name="примечание" localSheetId="0">#REF!</definedName>
    <definedName name="примечание">#REF!</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БитаевАА</author>
  </authors>
  <commentList>
    <comment ref="J18" authorId="0">
      <text>
        <r>
          <rPr>
            <b/>
            <sz val="9"/>
            <rFont val="Tahoma"/>
            <family val="2"/>
          </rPr>
          <t>БитаевАА:</t>
        </r>
        <r>
          <rPr>
            <sz val="9"/>
            <rFont val="Tahoma"/>
            <family val="2"/>
          </rPr>
          <t xml:space="preserve">
+5185 - земельный в отношении дорог
+10 550,08 - расходы на уплату налога ЖКХ и УКСиЕЗ
+2 368,37 - расходы УКСиЕЗ участки ул. Мира
-14694,7 - сокращ расходов МКУ ЖКХ</t>
        </r>
      </text>
    </comment>
    <comment ref="J129" authorId="0">
      <text>
        <r>
          <rPr>
            <b/>
            <sz val="9"/>
            <rFont val="Tahoma"/>
            <family val="2"/>
          </rPr>
          <t>БитаевАА:</t>
        </r>
        <r>
          <rPr>
            <sz val="9"/>
            <rFont val="Tahoma"/>
            <family val="2"/>
          </rPr>
          <t xml:space="preserve">
127,37 - компл р-тие сельск территорий по бюджету 2021-2023</t>
        </r>
      </text>
    </comment>
  </commentList>
</comments>
</file>

<file path=xl/sharedStrings.xml><?xml version="1.0" encoding="utf-8"?>
<sst xmlns="http://schemas.openxmlformats.org/spreadsheetml/2006/main" count="283" uniqueCount="282">
  <si>
    <t>(тыс.руб.)</t>
  </si>
  <si>
    <t>Код бюджетной классификации Российской Федерации</t>
  </si>
  <si>
    <t>Наименование дохода</t>
  </si>
  <si>
    <t xml:space="preserve"> </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</si>
  <si>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</si>
  <si>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</si>
  <si>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</si>
  <si>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</si>
  <si>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</si>
  <si>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</si>
  <si>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</si>
  <si>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</si>
  <si>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</si>
  <si>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</si>
  <si>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</si>
  <si>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</si>
  <si>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</si>
  <si>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</si>
  <si>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</si>
  <si>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</si>
  <si>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</si>
  <si>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</si>
  <si>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000 1 05 04000 02 0000 110</t>
  </si>
  <si>
    <t>Налог, взимаемый в связи с применением патентной системы налогообложения</t>
  </si>
  <si>
    <t>000 1 06 00000 00 0000 000</t>
  </si>
  <si>
    <t>Налоги на имущество</t>
  </si>
  <si>
    <t>000 1 06 01000 00 0000 110</t>
  </si>
  <si>
    <t>Налог на имущество физических лиц</t>
  </si>
  <si>
    <t>000 1 06 06000 00 0000 110</t>
  </si>
  <si>
    <t>Земельный налог</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</si>
  <si>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</si>
  <si>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</si>
  <si>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</si>
  <si>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</si>
  <si>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000 1 08 07000 01 0000 110</t>
  </si>
  <si>
    <t>Государственная пошлина за государственную регистрацию, а также за совершение прочих юридически значимых действий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</si>
  <si>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</si>
  <si>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</si>
  <si>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</si>
  <si>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</si>
  <si>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</si>
  <si>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</si>
  <si>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</si>
  <si>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</si>
  <si>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</si>
  <si>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</si>
  <si>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</si>
  <si>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</si>
  <si>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</si>
  <si>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</si>
  <si>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</si>
  <si>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</si>
  <si>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</si>
  <si>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</si>
  <si>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</si>
  <si>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</si>
  <si>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</si>
  <si>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</si>
  <si>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</si>
  <si>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</si>
  <si>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</si>
  <si>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</si>
  <si>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</si>
  <si>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</si>
  <si>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000 1 16 10000 00 0000 140</t>
  </si>
  <si>
    <t>Платежи в целях возмещения причиненного ущерба (убытков)</t>
  </si>
  <si>
    <t>000 1 16 11000 01 0000 140</t>
  </si>
  <si>
    <t>Платежи, уплачиваемые в целях возмещения вреда</t>
  </si>
  <si>
    <t>000 1 17 00000 00 0000 000</t>
  </si>
  <si>
    <t>Прочие неналоговые доходы</t>
  </si>
  <si>
    <t>000 1 17 15000 00 0000 150</t>
  </si>
  <si>
    <t>Инициативные платежи</t>
  </si>
  <si>
    <t>000 1 17 15020 14 0101 150</t>
  </si>
  <si>
    <t>Инициативные платежи, зачисляемые в бюджеты муниципальных округов (поступления средств от физических лиц на реализацию проекта «Устройство спортивной площадки в поселке Горном Предгорного муниципального округа Ставропольского края»)</t>
  </si>
  <si>
    <t>000 1 17 15020 14 0102 150</t>
  </si>
  <si>
    <t>Инициативные платежи, зачисляемые в бюджеты муниципальных округов (поступления средств от физических лиц на реализацию проекта «Устройство тротуаров по улице Гагарина (от улицы Гагарина, д.103 до улицы Яблонька, д.33) в станице Ессентукской Предгорного муниципального округа Ставропольского края»)</t>
  </si>
  <si>
    <t>000 1 17 15020 14 0103 150</t>
  </si>
  <si>
    <t>Инициативные платежи, зачисляемые в бюджеты муниципальных округов (поступления средств от физических лиц на реализацию проекта «Устройство тротуаров по улице Садовая (от улицы Павлова до Гагарина), по улице Гагарина (от улицы Гагарина, д.92 до улицы Гагарина, д.158) в станице Ессентукской Предгорного муниципального округа Ставропольского края»)</t>
  </si>
  <si>
    <t>000 1 17 15020 14 0104 150</t>
  </si>
  <si>
    <t>Инициативные платежи, зачисляемые в бюджеты муниципальных округов (поступления средств от физических лиц на реализацию проекта «Устройство спортивного городка в пос. Нежинский Предгорного муниципального округа Ставропольского края»)</t>
  </si>
  <si>
    <t>000 1 17 15020 14 0105 150</t>
  </si>
  <si>
    <t>Инициативные платежи, зачисляемые в бюджеты муниципальных округов (поступления средств от физических лиц на реализацию проекта «Устройство спортивной площадки в ст. Боргустанская Предгорного муниципального округа Ставропольского края»)</t>
  </si>
  <si>
    <t>000 1 17 15020 14 0106 150</t>
  </si>
  <si>
    <t>Инициативные платежи, зачисляемые в бюджеты муниципальных округов (поступления средств от физических лиц на реализацию проекта «Монтаж светильников наружного освещения х. Славяновский (МТФ 1 №1 к-за им. Ленина) ул. Лысогорская»)</t>
  </si>
  <si>
    <t>000 1 17 15020 14 0107 150</t>
  </si>
  <si>
    <t>Инициативные платежи, зачисляемые в бюджеты муниципальных округов (поступления средств от физических лиц на реализацию проекта «Монтаж светильников наружного освещения в п. Родниковый Предгорного муниципального округа Ставропольского края»)</t>
  </si>
  <si>
    <t>000 1 17 15020 14 0108 150</t>
  </si>
  <si>
    <t>Инициативные платежи, зачисляемые в бюджеты муниципальных округов (поступления средств от физических лиц на реализацию проекта «Устройство уличного освещения п. Верхнеподкумский Предгорного муниципального округа по ул. Зеленая, ул. Каштановая, ул. Полевая»)</t>
  </si>
  <si>
    <t>000 1 17 15020 14 0201 150</t>
  </si>
  <si>
    <t>Инициативные платежи, зачисляемые в бюджеты муниципальных округов (поступления средств от индивидуальных предпринимателей на реализацию проекта «Устройство спортивной площадки в поселке Горном Предгорного муниципального округа Ставропольского края»)</t>
  </si>
  <si>
    <t>000 1 17 15020 14 0205 150</t>
  </si>
  <si>
    <t>Инициативные платежи, зачисляемые в бюджеты муниципальных округов (поступления средств от индивидуальных предпринимателей на реализацию проекта «Устройство спортивной площадки в ст. Боргустанская Предгорного муниципального округа Ставропольского края»)</t>
  </si>
  <si>
    <t>000 1 17 15020 14 0207 150</t>
  </si>
  <si>
    <t>Инициативные платежи, зачисляемые в бюджеты муниципальных округов (поступления средств от индивидуальных предпринимателей на реализацию проекта «Монтаж светильников наружного освещения в п. Родниковый Предгорного муниципального округа Ставропольского края»)</t>
  </si>
  <si>
    <t>000 1 17 15020 14 0208 150</t>
  </si>
  <si>
    <t>Инициативные платежи, зачисляемые в бюджеты муниципальных округов (поступления средств от индивидуальных предпринимателей на реализацию проекта «Устройство уличного освещения п. Верхнеподкумский Предгорного муниципального округа по ул. Зеленая, ул. Каштановая, ул. Полевая»)</t>
  </si>
  <si>
    <t>000 1 17 15020 14 0302 150</t>
  </si>
  <si>
    <t>Инициативные платежи, зачисляемые в бюджеты муниципальных округов (поступления средств от организаций на реализацию проекта «Устройство тротуаров по улице Гагарина (от улицы Гагарина, д.103 до улицы Яблонька, д.33) в станице Ессентукской Предгорного муниципального округа Ставропольского края»)</t>
  </si>
  <si>
    <t>000 1 17 15020 14 0303 150</t>
  </si>
  <si>
    <t>Инициативные платежи, зачисляемые в бюджеты муниципальных округов (поступления средств от организаций на реализацию проекта «Устройство тротуаров по улице Садовая (от улицы Павлова до Гагарина), по улице Гагарина (от улицы Гагарина, д.92 до улицы Гагарина, д.158) в станице Ессентукской Предгорного муниципального округа Ставропольского края»)</t>
  </si>
  <si>
    <t>000 1 17 15020 14 0304 150</t>
  </si>
  <si>
    <t>Инициативные платежи, зачисляемые в бюджеты муниципальных округов (поступления средств от организаций на реализацию проекта «Устройство спортивного городка в пос. Нежинский Предгорного муниципального округа Ставропольского края»)</t>
  </si>
  <si>
    <t>000 2 00 00000 00 0000 000</t>
  </si>
  <si>
    <t xml:space="preserve">Безвозмездные поступления </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</si>
  <si>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</si>
  <si>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</si>
  <si>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</si>
  <si>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</si>
  <si>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000 2 02 15001 14 0000 150</t>
  </si>
  <si>
    <t>Дотации бюджетам муниципальных округов на выравнивание бюджетной обеспеченности из бюджета субъекта Российской Федерации</t>
  </si>
  <si>
    <t>000 2 02 15002 14 0000 150</t>
  </si>
  <si>
    <t>Дотации бюджетам муниципальных округов на поддержку мер по обеспечению сбалансированности бюджетов</t>
  </si>
  <si>
    <t>000 2 02 20000 00 0000 150</t>
  </si>
  <si>
    <t>Субсидии бюджетам бюджетной системы Российской Федерации (межбюджетные субсидии)</t>
  </si>
  <si>
    <t>000 2 02 20077 14 1164 150</t>
  </si>
  <si>
    <t>Субсидии бюджетам муниципальных округов на софинансирование капитальных вложений в объекты муниципальной собственности (строительство (реконструкция) общеобразовательных организаций)</t>
  </si>
  <si>
    <t>000 2 02 20216 14 0000 150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</si>
  <si>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</si>
  <si>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000 2 02 25097 14 0000 150</t>
  </si>
  <si>
    <t>Субсидии бюджетам муниципальных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</si>
  <si>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000 2 02 25269 14 0000 150</t>
  </si>
  <si>
    <t>Субсидии бюджетам муниципальных округов на закупку контейнеров для раздельного накопления твердых коммунальных отходов</t>
  </si>
  <si>
    <t>000 2 02 25304 14 0000 150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</si>
  <si>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</si>
  <si>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000 2 02 25372 14 0000 150</t>
  </si>
  <si>
    <t>Субсидии бюджетам муниципальных округов на развитие транспортной инфраструктуры на сельских территориях</t>
  </si>
  <si>
    <t>000 2 02 25467 14 0000 150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</si>
  <si>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</si>
  <si>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000 2 02 25497 14 0000 150</t>
  </si>
  <si>
    <t>Субсидии бюджетам муниципальных округов на реализацию мероприятий по обеспечению жильем молодых семей</t>
  </si>
  <si>
    <t>000 2 02 25513 14 0000 150</t>
  </si>
  <si>
    <t>Субсидии бюджетам муниципальных округов на развитие сети учреждений культурно-досугового типа</t>
  </si>
  <si>
    <t>000 2 02 25519 14 0000 150</t>
  </si>
  <si>
    <t>Субсидии бюджетам муниципальных округов на поддержку отрасли культуры</t>
  </si>
  <si>
    <t>000 2 02 25555 14 0000 150</t>
  </si>
  <si>
    <t>Субсидии бюджетам муниципальных округов на реализацию программ формирования современной городской среды</t>
  </si>
  <si>
    <t>000 2 02 25750 14 0000 150</t>
  </si>
  <si>
    <t>Субсидии бюджетам муниципальных округов на реализацию мероприятий по модернизации школьных систем образования</t>
  </si>
  <si>
    <t>000 2 02 29999 14 0172 150</t>
  </si>
  <si>
    <t>Прочие субсидии бюджетам муниципальных округов (проведение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</si>
  <si>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000 2 02 29999 14 1170 150</t>
  </si>
  <si>
    <t>Прочие субсидии бюджетам муниципальных округов (предоставление молодым семьям социальных выплат на приобретение (строительство) жилья)</t>
  </si>
  <si>
    <t>000 2 02 29999 14 1204 150</t>
  </si>
  <si>
    <t>Прочие субсидии бюджетам муниципальных округов (проведение информационно-пропагандистских мероприятий, направленных на профилактику идеологии терроризма)</t>
  </si>
  <si>
    <t>000 2 02 29999 14 1213 150</t>
  </si>
  <si>
    <t>Прочие субсидии бюджетам муниципальных округов (обеспечение функционирования центров образования цифрового и гуманитарного профилей «Точка роста», а также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</si>
  <si>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000 2 02 29999 14 1254 150</t>
  </si>
  <si>
    <t>Прочие субсидии бюджетам муниципальных округов (реализация инициативных проектов)</t>
  </si>
  <si>
    <t>000 2 02 29999 14 1265 150</t>
  </si>
  <si>
    <t>Прочие субсидии бюджетам муниципальных округов (реализация мероприятий по обеспечению антитеррористической защищенности в муниципальных общеобразовательных организациях)</t>
  </si>
  <si>
    <t>000 2 02 29999 14 1266 150</t>
  </si>
  <si>
    <t>Прочие субсидии бюджетам муниципальных округов (реализация мероприятий по модернизации школьных систем образования (завершение работ по капитальному ремонту)</t>
  </si>
  <si>
    <t>000 2 02 29999 14 1275 150</t>
  </si>
  <si>
    <t>Прочие субсидии бюджетам муниципальных округов (проведение работ по благоустройству территорий муниципальных общеобразовательных организаций, участвующих в региональном проекте «Модернизация школьных систем образования»)</t>
  </si>
  <si>
    <t>000 2 02 30000 00 0000 150</t>
  </si>
  <si>
    <t>Субвенции бюджетам бюджетной системы Российской Федерации</t>
  </si>
  <si>
    <t>000 2 02 30024 14 0026 150</t>
  </si>
  <si>
    <t>Субвенции бюджетам муниципальных округов на выполнение передаваемых полномочий субъектов Российской Федерации (организация и осуществление деятельности по опеке и попечительству в области здравоохранения)</t>
  </si>
  <si>
    <t>000 2 02 30024 14 0028 150</t>
  </si>
  <si>
    <t>Субвенции бюджетам муниципальных округов на выполнение передаваемых полномочий субъектов Российской Федерации (организация и осуществление деятельности по опеке и попечительству в области образования)</t>
  </si>
  <si>
    <t>000 2 02 30024 14 0032 150</t>
  </si>
  <si>
    <t>Субвенции бюджетам муниципальных округов на выполнение передаваемых полномочий субъектов Российской Федерации (организация и проведение мероприятий по борьбе с иксодовыми клещами-переносчиками Крымской геморрагической лихорадки в природных биотопах (на пастбищах)</t>
  </si>
  <si>
    <t>000 2 02 30024 14 0036 150</t>
  </si>
  <si>
    <t>Субвенции бюджетам муниципальных округов на выполнение передаваемых полномочий субъектов Российской Федерации (администрирование переданных отдельных государственных полномочий в области сельского хозяйства)</t>
  </si>
  <si>
    <t>000 2 02 30024 14 0040 150</t>
  </si>
  <si>
    <t>Субвенции бюджетам муниципальных округов на выполнение передаваемых полномочий субъектов Российской Федерации (предоставление государственной социальной помощи малоимущим семьям, малоимущим одиноко проживающим гражданам)</t>
  </si>
  <si>
    <t>000 2 02 30024 14 0041 150</t>
  </si>
  <si>
    <t>Субвенции бюджетам муниципальных округов на выполнение передаваемых полномочий субъектов Российской Федерации (выплата ежемесячной денежной компенсации на каждого ребенка в возрасте до 18 лет многодетным семьям)</t>
  </si>
  <si>
    <t>000 2 02 30024 14 0042 150</t>
  </si>
  <si>
    <t>Субвенции бюджетам муниципальных округов на выполнение передаваемых полномочий субъектов Российской Федерации (выплата ежегодного социального пособия на проезд студентам)</t>
  </si>
  <si>
    <t>000 2 02 30024 14 0045 150</t>
  </si>
  <si>
    <t>Субвенции бюджетам муниципальных округов на выполнение передаваемых полномочий субъектов Российской Федерации (осуществление отдельных государственных полномочий Ставропольского края по формированию, содержанию и использованию Архивного фонда Ставропольского края)</t>
  </si>
  <si>
    <t>000 2 02 30024 14 0047 150</t>
  </si>
  <si>
    <t>Субвенции бюджетам муниципальных округов на выполнение передаваемых полномочий субъектов Российской Федерации (создание и организация деятельности комиссий по делам несовершеннолетних и защите их прав)</t>
  </si>
  <si>
    <t>000 2 02 30024 14 0066 150</t>
  </si>
  <si>
    <t>Субвенции бюджетам муниципальных округов на выполнение передаваемых полномочий субъектов Российской Федерации (выплата пособия на ребенка)</t>
  </si>
  <si>
    <t>000 2 02 30024 14 0090 150</t>
  </si>
  <si>
    <t>Субвенции бюджетам муниципальных округов на выполнение передаваемых полномочий субъектов Российской Федерации (предоставление мер социальной поддержки по оплате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t>
  </si>
  <si>
    <t>000 2 02 30024 14 0147 150</t>
  </si>
  <si>
    <t>Субвенции бюджетам муниципальных округов на выполнение передаваемых полномочий субъектов Российской Федерации (осуществление отдельных государственных полномочий в области труда и социальной защиты отдельных категорий граждан)</t>
  </si>
  <si>
    <t>000 2 02 30024 14 0181 150</t>
  </si>
  <si>
    <t>Субвенции бюджетам муниципальных округов на выполнение передаваемых полномочий субъектов Российской Федерации (осуществление отдельных государственных полномочий Ставропольского края по созданию административных комиссий)</t>
  </si>
  <si>
    <t>000 2 02 30024 14 1107 150</t>
  </si>
  <si>
    <t>Субвенции бюджетам муниципальных округов на выполнение передаваемых полномочий субъектов Российской Федерации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</si>
  <si>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000 2 02 30024 14 1108 150</t>
  </si>
  <si>
    <t>Субвенции бюджетам муниципальных округов на выполнение передаваемых полномочий субъектов Российской Федерации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</si>
  <si>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000 2 02 30024 14 1110 150</t>
  </si>
  <si>
    <t>Субвенции бюджетам муниципальных округов на выполнение передаваемых полномочий субъектов Российской Федерации (осуществление деятельности по обращению с животными без владельцев)</t>
  </si>
  <si>
    <t>000 2 02 30024 14 1122 150</t>
  </si>
  <si>
    <t>Субвенции бюджетам муниципальных округов на выполнение передаваемых полномочий субъектов Российской Федерации (выплата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</si>
  <si>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000 2 02 30024 14 1209 150</t>
  </si>
  <si>
    <t>Субвенции бюджетам муниципальных округов на выполнение передаваемых полномочий субъектов Российской Федерации (выплата денежной компенсации семьям, в которых в период с 1 января 2011 года по 31 декабря 2015 года родился третий или последующий ребенок)</t>
  </si>
  <si>
    <t>000 2 02 30024 14 1221 150</t>
  </si>
  <si>
    <t>Субвенции бюджетам муниципальных округов на выполнение передаваемых полномочий субъектов Российской Федерации (ежегодная денежная выплата гражданам Российской Федерации, не достигшим совершеннолетия на 3 сентября 1945 года и постоянно проживающим на территории Ставропольского края)</t>
  </si>
  <si>
    <t>000 2 02 30024 14 1256 150</t>
  </si>
  <si>
    <t>Субвенции бюджетам муниципальных округов на выполнение передаваемых полномочий субъектов Российской Федерации (обеспечение отдыха и оздоровления детей)</t>
  </si>
  <si>
    <t>000 2 02 30024 14 1260 150</t>
  </si>
  <si>
    <t>Субвенции бюджетам муниципальных округов на выполнение передаваемых полномочий субъектов Российской Федерации (осуществление выплаты социального пособия на погребение)</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</si>
  <si>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</si>
  <si>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</si>
  <si>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000 2 02 35084 14 0000 150</t>
  </si>
  <si>
    <t>Субвенции бюджетам муниципальных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</si>
  <si>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000 2 02 35118 14 0000 150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</si>
  <si>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</si>
  <si>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</si>
  <si>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</si>
  <si>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000 2 02 35220 14 0000 150</t>
  </si>
  <si>
    <t>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</si>
  <si>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000 2 02 35250 14 0000 150</t>
  </si>
  <si>
    <t>Субвенции бюджетам муниципальных округов на оплату жилищно-коммунальных услуг отдельным категориям граждан</t>
  </si>
  <si>
    <t>000 2 02 35302 14 0000 150</t>
  </si>
  <si>
    <t>Субвенции бюджетам муниципальных округов на осуществление ежемесячных выплат на детей в возрасте от трех до семи лет включительно</t>
  </si>
  <si>
    <t>000 2 02 35303 14 0000 150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</si>
  <si>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</si>
  <si>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000 2 02 35404 14 0000 150</t>
  </si>
  <si>
    <t>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t>
  </si>
  <si>
    <t>000 2 02 35462 14 0000 150</t>
  </si>
  <si>
    <t>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t>
  </si>
  <si>
    <t>000 2 02 35573 14 0000 150</t>
  </si>
  <si>
    <t>Субвенции бюджетам муниципальных округов на осуществление ежемесячной выплаты в связи с рождением (усыновлением) первого ребенка</t>
  </si>
  <si>
    <t>000 2 02 39998 14 1157 150</t>
  </si>
  <si>
    <t>Единая субвенция бюджетам муниципальных округов (осуществление отдельных государственных полномочий по социальной защите отдельных категорий граждан)</t>
  </si>
  <si>
    <t>000 2 02 39998 14 1158 150</t>
  </si>
  <si>
    <t>Единая субвенция бюджетам муниципальных округов (осуществление отдельных государственных полномочий по социальной поддержке семьи и детей)</t>
  </si>
  <si>
    <t>000 2 02 40000 00 0000 150</t>
  </si>
  <si>
    <t>Иные межбюджетные трансферты</t>
  </si>
  <si>
    <t>000 2 02 49999 14 0005 150</t>
  </si>
  <si>
    <t>Прочие межбюджетные трансферты, передаваемые  бюджетам (обеспечение выплаты лицам, не замещающим муниципальные должности муниципальной службы и исполняющим обязанности по техническому обеспечению деятельности органов местного самоуправления муниципальных образований, работникам органов местного самоуправления муниципальных образований, осуществляющим профессиональную деятельность по профессиям рабочих, и работникам муниципальных учреждений заработной платы не ниже установленного федеральным законодательством минимального размера оплаты труда, а также на обеспечение выплаты работникам муниципальных учреждений коэффициента к заработной плате за работу в пустынных и безводных местностях)</t>
  </si>
  <si>
    <t>000 2 02 49999 14 0064 150</t>
  </si>
  <si>
    <t>Прочие межбюджетные трансферты, передаваемые бюджетам муниципальных округов (обеспечение деятельности депутатов Думы Ставропольского края и их помощников в избирательном округе)</t>
  </si>
  <si>
    <t>000 2 02 49999 14 0190 150</t>
  </si>
  <si>
    <t>Прочие межбюджетные трансферты, передаваемые бюджетам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органов местного самоуправления муниципальных образований,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</si>
  <si>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000 2 02 49999 14 1217 150</t>
  </si>
  <si>
    <t>Прочие межбюджетные трансферты, передаваемые бюджетам муниципальных округов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</si>
  <si>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000 2 02 49999 14 1249 150</t>
  </si>
  <si>
    <t>Прочие межбюджетные трансферты, передаваемые бюджетам муниципальных округов (проведение антитеррористических мероприятий в муниципальных образовательных организациях)</t>
  </si>
  <si>
    <t>000 2 02 49999 14 1255 150</t>
  </si>
  <si>
    <t>Прочие межбюджетные трансферты, передаваемые бюджетам муниципальных округов (осуществление выплаты лицам, входящим в муниципальные управленческие команды Ставропольского края, поощрения за достижение в 2021 году Ставропольским краем значений (уровней)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t>
  </si>
  <si>
    <t>000 2 02 49999 14 1270 150</t>
  </si>
  <si>
    <t>Прочие межбюджетные трансферты, передаваемые бюджетам муниципальных округов (повышение оплаты труда отдельных категорий работников муниципальных учреждений в рамках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</si>
  <si>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000 2 02 49999 14 1272 150</t>
  </si>
  <si>
    <t>Прочие межбюджетные трансферты, передаваемые бюджетам муниципальных округов (обеспечение питания в образовательных организациях в результате удорожания стоимости продуктов питания)</t>
  </si>
  <si>
    <t>000 2 07 00000 00 0000 000</t>
  </si>
  <si>
    <t>Прочие безвозмездные поступления</t>
  </si>
  <si>
    <t>000 2 07 04000 14 0000 150</t>
  </si>
  <si>
    <t>Прочие безвозмездные поступления в бюджеты муниципальных округов</t>
  </si>
  <si>
    <t>000 2 07 04010 14 0000 150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</si>
  <si>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округов</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</si>
  <si>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</si>
  <si>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</si>
  <si>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000 2 18 00000 14 0000 150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</si>
  <si>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</si>
  <si>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000 2 18 04010 14 0000 150</t>
  </si>
  <si>
    <t>Доходы бюджетов муниципальных округов от возврата бюджетными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</si>
  <si>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</si>
  <si>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</si>
  <si>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000 2 19 00000 14 0000 150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</si>
  <si>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</si>
  <si>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000 2 19 25304 14 0000 150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</si>
  <si>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</si>
  <si>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000 2 19 35250 14 0000 150</t>
  </si>
  <si>
    <t>Возврат остатков субвенций на оплату жилищно-коммунальных услуг отдельным категориям граждан из бюджетов муниципальных округов</t>
  </si>
  <si>
    <t>000 2 19 35380 14 0000 150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</si>
  <si>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округов</t>
  </si>
  <si>
    <t>000 2 19 45303 14 0000 150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</si>
  <si>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t>
  </si>
  <si>
    <t>000 2 19 60010 14 0000 150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</si>
  <si>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</si>
  <si>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ВСЕГО ДОХОДОВ</t>
  </si>
  <si>
    <t>000 1 11 07000 00 0000 120</t>
  </si>
  <si>
    <t>Платежи от государственных и муниципальных унитарных предприятий</t>
  </si>
  <si>
    <t>000 2 02 29999 14 0031 150</t>
  </si>
  <si>
    <t>Прочие субсидии бюджетам муниципальных округов (проведение капитального ремонта зданий и сооружений, благоустройство территории муниципальных учреждений культуры муниципальных образований)</t>
  </si>
  <si>
    <t>Сумма первоночального бюджета</t>
  </si>
  <si>
    <t>Внесение изменений в решение о бюджете от 25.02.2022 №2</t>
  </si>
  <si>
    <t>Внесение изменений в решение о бюджете от 29.04.2022 №20</t>
  </si>
  <si>
    <t>Внесение изменений в решение о бюджете от 24.06.2022 №34</t>
  </si>
  <si>
    <t>Внесение изменений в решение о бюджете от 16.09.2022 №58</t>
  </si>
  <si>
    <t>Внесение изменений в решение о бюджете от 15.11.2022 №71</t>
  </si>
  <si>
    <t>Внесение изменений в решение о бюджете от 20.12.2022 №76</t>
  </si>
  <si>
    <t>Сумма бюджета с учетом внесенных изменений</t>
  </si>
  <si>
    <t>Сведения  о внесении в 2022 году изменений в решение Думы Предгорного муниципального округа Ставропольского края от 24 декабря 2021 года №178 "О бюджете Предгорного муниципального округа Ставропольского края на 2022 год и плановый период 2023 и 2024 годов" (в части доходов)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</si>
</sst>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Cyr"/>
      <family val="2"/>
    </font>
    <font>
      <sz val="10"/>
      <name val="Arial"/>
      <family val="2"/>
    </font>
    <font>
      <sz val="11"/>
      <name val="Times New Roman"/>
      <family val="1"/>
    </font>
    <font>
      <b/>
      <sz val="11"/>
      <name val="Times New Roman"/>
      <family val="1"/>
    </font>
    <font>
      <b/>
      <sz val="9"/>
      <name val="Tahoma"/>
      <family val="2"/>
    </font>
    <font>
      <sz val="9"/>
      <name val="Tahoma"/>
      <family val="2"/>
    </font>
    <font>
      <sz val="11"/>
      <color indexed="10"/>
      <name val="Times New Roman"/>
      <family val="1"/>
    </font>
    <font>
      <b/>
      <sz val="11"/>
      <color rgb="FFFF0000"/>
      <name val="Times New Roman"/>
      <family val="1"/>
    </font>
    <font>
      <sz val="11"/>
      <color rgb="FFFF0000"/>
      <name val="Times New Roman"/>
      <family val="1"/>
    </font>
    <font>
      <b/>
      <sz val="8"/>
      <name val="Arial Cyr"/>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2" fillId="0" borderId="0" xfId="0" applyFont="1" applyFill="1"/>
    <xf numFmtId="0" fontId="2" fillId="0" borderId="0" xfId="0" applyFont="1" applyFill="1" applyAlignment="1">
      <alignment horizontal="center" wrapText="1"/>
    </xf>
    <xf numFmtId="0" fontId="3" fillId="0" borderId="1" xfId="0" applyFont="1" applyFill="1" applyBorder="1" applyAlignment="1">
      <alignment horizontal="justify" vertical="top" wrapText="1"/>
    </xf>
    <xf numFmtId="4" fontId="3" fillId="0" borderId="1" xfId="0" applyNumberFormat="1" applyFont="1" applyFill="1" applyBorder="1" applyAlignment="1">
      <alignment horizontal="right" vertical="top" wrapText="1"/>
    </xf>
    <xf numFmtId="0" fontId="2" fillId="0" borderId="1" xfId="0" applyFont="1" applyFill="1" applyBorder="1" applyAlignment="1">
      <alignment horizontal="justify" vertical="top" wrapText="1"/>
    </xf>
    <xf numFmtId="4" fontId="2" fillId="0" borderId="1" xfId="0" applyNumberFormat="1" applyFont="1" applyFill="1" applyBorder="1" applyAlignment="1">
      <alignment horizontal="right" vertical="top" wrapText="1"/>
    </xf>
    <xf numFmtId="0" fontId="2" fillId="0" borderId="1" xfId="0" applyFont="1" applyFill="1" applyBorder="1" applyAlignment="1">
      <alignment horizontal="justify" vertical="top"/>
    </xf>
    <xf numFmtId="0" fontId="3" fillId="0" borderId="1" xfId="0" applyFont="1" applyFill="1" applyBorder="1" applyAlignment="1">
      <alignment horizontal="justify" vertical="top"/>
    </xf>
    <xf numFmtId="0" fontId="2" fillId="2" borderId="1" xfId="0" applyFont="1" applyFill="1" applyBorder="1" applyAlignment="1">
      <alignment horizontal="justify" vertical="top" wrapText="1"/>
    </xf>
    <xf numFmtId="0" fontId="3"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horizontal="justify" vertical="top"/>
    </xf>
    <xf numFmtId="4" fontId="2" fillId="0" borderId="1" xfId="0" applyNumberFormat="1" applyFont="1" applyBorder="1" applyAlignment="1">
      <alignment horizontal="right" vertical="top" wrapText="1"/>
    </xf>
    <xf numFmtId="0" fontId="2" fillId="0" borderId="0" xfId="0" applyFont="1"/>
    <xf numFmtId="4" fontId="2" fillId="0" borderId="1" xfId="0" applyNumberFormat="1" applyFont="1" applyFill="1" applyBorder="1" applyAlignment="1">
      <alignment horizontal="right" vertical="top"/>
    </xf>
    <xf numFmtId="4" fontId="3" fillId="0" borderId="1" xfId="0" applyNumberFormat="1" applyFont="1" applyFill="1" applyBorder="1" applyAlignment="1">
      <alignment horizontal="right" vertical="top"/>
    </xf>
    <xf numFmtId="4" fontId="3" fillId="0" borderId="1" xfId="0" applyNumberFormat="1" applyFont="1" applyBorder="1" applyAlignment="1">
      <alignment horizontal="right" vertical="top" wrapText="1"/>
    </xf>
    <xf numFmtId="4" fontId="2" fillId="0" borderId="0" xfId="0" applyNumberFormat="1" applyFont="1" applyFill="1" applyAlignment="1">
      <alignment horizontal="right" wrapText="1"/>
    </xf>
    <xf numFmtId="4" fontId="2" fillId="0" borderId="0" xfId="0" applyNumberFormat="1" applyFont="1" applyAlignment="1">
      <alignment horizontal="right"/>
    </xf>
    <xf numFmtId="0" fontId="2" fillId="0" borderId="1" xfId="0" applyFont="1" applyBorder="1" applyAlignment="1">
      <alignment vertical="top" wrapText="1"/>
    </xf>
    <xf numFmtId="4" fontId="2" fillId="0" borderId="0" xfId="0" applyNumberFormat="1" applyFont="1" applyFill="1" applyAlignment="1">
      <alignment wrapText="1"/>
    </xf>
    <xf numFmtId="4" fontId="2" fillId="0" borderId="0" xfId="0" applyNumberFormat="1" applyFont="1" applyAlignment="1">
      <alignment/>
    </xf>
    <xf numFmtId="4" fontId="2" fillId="0" borderId="1" xfId="0" applyNumberFormat="1" applyFont="1" applyBorder="1" applyAlignment="1">
      <alignment horizontal="right" vertical="top"/>
    </xf>
    <xf numFmtId="0" fontId="6" fillId="0" borderId="0" xfId="0" applyFont="1" applyFill="1" applyAlignment="1">
      <alignment horizontal="right"/>
    </xf>
    <xf numFmtId="0" fontId="2" fillId="0" borderId="0" xfId="0" applyFont="1" applyFill="1" applyAlignment="1">
      <alignment horizontal="center"/>
    </xf>
    <xf numFmtId="0" fontId="6" fillId="0" borderId="0" xfId="0" applyFont="1" applyFill="1"/>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right" vertical="top"/>
    </xf>
    <xf numFmtId="4" fontId="7" fillId="0" borderId="1" xfId="0" applyNumberFormat="1" applyFont="1" applyFill="1" applyBorder="1" applyAlignment="1">
      <alignment horizontal="right" vertical="top" wrapText="1"/>
    </xf>
    <xf numFmtId="4" fontId="8" fillId="0" borderId="1" xfId="0" applyNumberFormat="1" applyFont="1" applyBorder="1" applyAlignment="1">
      <alignment horizontal="right" vertical="top" wrapText="1"/>
    </xf>
    <xf numFmtId="4" fontId="8"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xf>
    <xf numFmtId="0" fontId="3" fillId="0" borderId="0" xfId="0" applyFont="1" applyFill="1" applyAlignment="1">
      <alignment horizontal="center" wrapText="1"/>
    </xf>
    <xf numFmtId="0" fontId="2" fillId="0" borderId="0" xfId="0" applyFont="1" applyFill="1" applyAlignment="1">
      <alignment horizontal="right"/>
    </xf>
    <xf numFmtId="4" fontId="2" fillId="0" borderId="0" xfId="0" applyNumberFormat="1" applyFont="1" applyFill="1" applyAlignment="1">
      <alignment/>
    </xf>
    <xf numFmtId="4" fontId="2" fillId="0" borderId="0" xfId="0" applyNumberFormat="1" applyFont="1" applyFill="1" applyAlignment="1">
      <alignment horizontal="right"/>
    </xf>
    <xf numFmtId="0" fontId="3" fillId="0" borderId="0" xfId="0" applyFont="1"/>
    <xf numFmtId="0" fontId="2" fillId="0" borderId="1" xfId="0" applyFont="1" applyBorder="1" applyAlignment="1">
      <alignment horizontal="right"/>
    </xf>
    <xf numFmtId="4" fontId="8" fillId="0" borderId="1" xfId="0" applyNumberFormat="1" applyFont="1"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60"/>
  <sheetViews>
    <sheetView tabSelected="1" view="pageBreakPreview" zoomScaleSheetLayoutView="100" workbookViewId="0" topLeftCell="A1">
      <selection activeCell="A4" sqref="A4"/>
    </sheetView>
  </sheetViews>
  <sheetFormatPr defaultColWidth="9.00390625" defaultRowHeight="12.75"/>
  <cols>
    <col min="1" max="1" width="29.25390625" style="14" customWidth="1"/>
    <col min="2" max="2" width="61.875" style="14" customWidth="1"/>
    <col min="3" max="3" width="18.875" style="14" customWidth="1"/>
    <col min="4" max="4" width="19.875" style="22" bestFit="1" customWidth="1"/>
    <col min="5" max="5" width="18.375" style="19" bestFit="1" customWidth="1"/>
    <col min="6" max="6" width="17.125" style="14" customWidth="1"/>
    <col min="7" max="7" width="17.875" style="19" bestFit="1" customWidth="1"/>
    <col min="8" max="8" width="16.75390625" style="19" customWidth="1"/>
    <col min="9" max="9" width="16.25390625" style="14" customWidth="1"/>
    <col min="10" max="10" width="16.875" style="26" customWidth="1"/>
    <col min="11" max="11" width="9.125" style="14" customWidth="1"/>
    <col min="12" max="12" width="10.25390625" style="14" bestFit="1" customWidth="1"/>
    <col min="13" max="16384" width="9.125" style="14" customWidth="1"/>
  </cols>
  <sheetData>
    <row r="1" spans="1:10" ht="12.75">
      <c r="A1" s="1"/>
      <c r="B1" s="35"/>
      <c r="C1" s="35"/>
      <c r="D1" s="36"/>
      <c r="E1" s="37"/>
      <c r="F1" s="35"/>
      <c r="G1" s="37"/>
      <c r="H1" s="37"/>
      <c r="I1" s="35"/>
      <c r="J1" s="24"/>
    </row>
    <row r="2" spans="1:10" ht="12.75">
      <c r="A2" s="25"/>
      <c r="B2" s="25"/>
      <c r="C2" s="25"/>
      <c r="D2" s="25"/>
      <c r="E2" s="25"/>
      <c r="F2" s="25"/>
      <c r="G2" s="25"/>
      <c r="H2" s="25"/>
      <c r="I2" s="25"/>
      <c r="J2" s="25"/>
    </row>
    <row r="3" spans="1:10" ht="40.5" customHeight="1">
      <c r="A3" s="34" t="s">
        <v>281</v>
      </c>
      <c r="B3" s="34"/>
      <c r="C3" s="34"/>
      <c r="D3" s="34"/>
      <c r="E3" s="34"/>
      <c r="F3" s="34"/>
      <c r="G3" s="34"/>
      <c r="H3" s="34"/>
      <c r="I3" s="34"/>
      <c r="J3" s="34"/>
    </row>
    <row r="4" spans="1:10" ht="15" customHeight="1">
      <c r="A4" s="2"/>
      <c r="B4" s="2"/>
      <c r="C4" s="2"/>
      <c r="D4" s="21"/>
      <c r="E4" s="18"/>
      <c r="F4" s="2"/>
      <c r="G4" s="18"/>
      <c r="H4" s="18"/>
      <c r="I4" s="2"/>
      <c r="J4" s="2" t="s">
        <v>0</v>
      </c>
    </row>
    <row r="5" spans="1:15" ht="85.5">
      <c r="A5" s="27" t="s">
        <v>1</v>
      </c>
      <c r="B5" s="27" t="s">
        <v>2</v>
      </c>
      <c r="C5" s="27" t="s">
        <v>273</v>
      </c>
      <c r="D5" s="28" t="s">
        <v>274</v>
      </c>
      <c r="E5" s="28" t="s">
        <v>275</v>
      </c>
      <c r="F5" s="28" t="s">
        <v>276</v>
      </c>
      <c r="G5" s="28" t="s">
        <v>277</v>
      </c>
      <c r="H5" s="28" t="s">
        <v>278</v>
      </c>
      <c r="I5" s="28" t="s">
        <v>279</v>
      </c>
      <c r="J5" s="27" t="s">
        <v>280</v>
      </c>
      <c r="O5" s="14" t="s">
        <v>3</v>
      </c>
    </row>
    <row r="6" spans="1:10" s="38" customFormat="1" ht="14.25">
      <c r="A6" s="3" t="s">
        <v>4</v>
      </c>
      <c r="B6" s="3" t="s">
        <v>5</v>
      </c>
      <c r="C6" s="4">
        <f>J6-I6-H6-G6-F6-E6-D6</f>
        <v>947710.98</v>
      </c>
      <c r="D6" s="4">
        <f aca="true" t="shared" si="0" ref="D6:I6">D7+D9+D11+D19+D22+D26+D28+D31+D33+D16+D39</f>
        <v>28000</v>
      </c>
      <c r="E6" s="4">
        <f t="shared" si="0"/>
        <v>3002.89</v>
      </c>
      <c r="F6" s="4">
        <f t="shared" si="0"/>
        <v>230.48999999999998</v>
      </c>
      <c r="G6" s="30">
        <f t="shared" si="0"/>
        <v>-3217.7299999999996</v>
      </c>
      <c r="H6" s="4">
        <f t="shared" si="0"/>
        <v>13592.01</v>
      </c>
      <c r="I6" s="4">
        <f t="shared" si="0"/>
        <v>1593.8199999999997</v>
      </c>
      <c r="J6" s="4">
        <f>J7+J9+J11+J19+J22+J26+J28+J31+J33+J16+J39</f>
        <v>990912.46</v>
      </c>
    </row>
    <row r="7" spans="1:10" s="38" customFormat="1" ht="14.25">
      <c r="A7" s="3" t="s">
        <v>6</v>
      </c>
      <c r="B7" s="3" t="s">
        <v>7</v>
      </c>
      <c r="C7" s="4">
        <f aca="true" t="shared" si="1" ref="C7:C70">J7-I7-H7-G7-F7-E7-D7</f>
        <v>401867</v>
      </c>
      <c r="D7" s="4">
        <f>D8</f>
        <v>0</v>
      </c>
      <c r="E7" s="4">
        <f>E8</f>
        <v>0</v>
      </c>
      <c r="F7" s="4">
        <f aca="true" t="shared" si="2" ref="F7:J7">F8</f>
        <v>0</v>
      </c>
      <c r="G7" s="30">
        <f t="shared" si="2"/>
        <v>-16420</v>
      </c>
      <c r="H7" s="4">
        <f t="shared" si="2"/>
        <v>3000</v>
      </c>
      <c r="I7" s="30">
        <f t="shared" si="2"/>
        <v>-1130.73</v>
      </c>
      <c r="J7" s="4">
        <f t="shared" si="2"/>
        <v>387316.27</v>
      </c>
    </row>
    <row r="8" spans="1:10" ht="12.75">
      <c r="A8" s="5" t="s">
        <v>8</v>
      </c>
      <c r="B8" s="5" t="s">
        <v>9</v>
      </c>
      <c r="C8" s="6">
        <f t="shared" si="1"/>
        <v>401867</v>
      </c>
      <c r="D8" s="6">
        <v>0</v>
      </c>
      <c r="E8" s="6">
        <v>0</v>
      </c>
      <c r="F8" s="6">
        <v>0</v>
      </c>
      <c r="G8" s="32">
        <v>-16420</v>
      </c>
      <c r="H8" s="6">
        <v>3000</v>
      </c>
      <c r="I8" s="32">
        <v>-1130.73</v>
      </c>
      <c r="J8" s="6">
        <f>401867-16420+3000-1130.73</f>
        <v>387316.27</v>
      </c>
    </row>
    <row r="9" spans="1:10" s="38" customFormat="1" ht="28.5">
      <c r="A9" s="3" t="s">
        <v>10</v>
      </c>
      <c r="B9" s="3" t="s">
        <v>11</v>
      </c>
      <c r="C9" s="4">
        <f t="shared" si="1"/>
        <v>45080.48</v>
      </c>
      <c r="D9" s="4">
        <f>D10</f>
        <v>0</v>
      </c>
      <c r="E9" s="4">
        <f>E10</f>
        <v>0</v>
      </c>
      <c r="F9" s="4">
        <f aca="true" t="shared" si="3" ref="F9:J9">F10</f>
        <v>0</v>
      </c>
      <c r="G9" s="4">
        <f t="shared" si="3"/>
        <v>0</v>
      </c>
      <c r="H9" s="4">
        <f t="shared" si="3"/>
        <v>0</v>
      </c>
      <c r="I9" s="4">
        <f t="shared" si="3"/>
        <v>0</v>
      </c>
      <c r="J9" s="4">
        <f t="shared" si="3"/>
        <v>45080.48</v>
      </c>
    </row>
    <row r="10" spans="1:10" ht="30">
      <c r="A10" s="5" t="s">
        <v>12</v>
      </c>
      <c r="B10" s="5" t="s">
        <v>13</v>
      </c>
      <c r="C10" s="6">
        <f t="shared" si="1"/>
        <v>45080.48</v>
      </c>
      <c r="D10" s="6">
        <v>0</v>
      </c>
      <c r="E10" s="6">
        <v>0</v>
      </c>
      <c r="F10" s="6">
        <v>0</v>
      </c>
      <c r="G10" s="6">
        <v>0</v>
      </c>
      <c r="H10" s="6">
        <v>0</v>
      </c>
      <c r="I10" s="6">
        <v>0</v>
      </c>
      <c r="J10" s="6">
        <v>45080.48</v>
      </c>
    </row>
    <row r="11" spans="1:10" s="38" customFormat="1" ht="14.25">
      <c r="A11" s="3" t="s">
        <v>14</v>
      </c>
      <c r="B11" s="3" t="s">
        <v>15</v>
      </c>
      <c r="C11" s="4">
        <f t="shared" si="1"/>
        <v>163007</v>
      </c>
      <c r="D11" s="4">
        <f>D12+D13+D14+D15</f>
        <v>0</v>
      </c>
      <c r="E11" s="4">
        <f>E12+E13+E14+E15</f>
        <v>0</v>
      </c>
      <c r="F11" s="4">
        <f aca="true" t="shared" si="4" ref="F11:J11">F12+F13+F14+F15</f>
        <v>0</v>
      </c>
      <c r="G11" s="4">
        <f t="shared" si="4"/>
        <v>21762.13</v>
      </c>
      <c r="H11" s="4">
        <f t="shared" si="4"/>
        <v>2500</v>
      </c>
      <c r="I11" s="4">
        <f t="shared" si="4"/>
        <v>0</v>
      </c>
      <c r="J11" s="4">
        <f t="shared" si="4"/>
        <v>187269.13</v>
      </c>
    </row>
    <row r="12" spans="1:10" ht="30">
      <c r="A12" s="5" t="s">
        <v>16</v>
      </c>
      <c r="B12" s="5" t="s">
        <v>17</v>
      </c>
      <c r="C12" s="6">
        <f t="shared" si="1"/>
        <v>101052</v>
      </c>
      <c r="D12" s="6">
        <v>0</v>
      </c>
      <c r="E12" s="6">
        <v>0</v>
      </c>
      <c r="F12" s="6">
        <v>0</v>
      </c>
      <c r="G12" s="6">
        <v>17227.13</v>
      </c>
      <c r="H12" s="6">
        <v>0</v>
      </c>
      <c r="I12" s="6">
        <v>0</v>
      </c>
      <c r="J12" s="6">
        <f>101052+18636.63-1409.5</f>
        <v>118279.13</v>
      </c>
    </row>
    <row r="13" spans="1:10" ht="30">
      <c r="A13" s="7" t="s">
        <v>18</v>
      </c>
      <c r="B13" s="5" t="s">
        <v>19</v>
      </c>
      <c r="C13" s="6">
        <f t="shared" si="1"/>
        <v>600</v>
      </c>
      <c r="D13" s="6">
        <v>0</v>
      </c>
      <c r="E13" s="6">
        <v>0</v>
      </c>
      <c r="F13" s="6">
        <v>0</v>
      </c>
      <c r="G13" s="32">
        <v>-300</v>
      </c>
      <c r="H13" s="6">
        <v>0</v>
      </c>
      <c r="I13" s="6">
        <v>0</v>
      </c>
      <c r="J13" s="6">
        <f>600-300</f>
        <v>300</v>
      </c>
    </row>
    <row r="14" spans="1:10" ht="12.75">
      <c r="A14" s="7" t="s">
        <v>20</v>
      </c>
      <c r="B14" s="7" t="s">
        <v>21</v>
      </c>
      <c r="C14" s="6">
        <f t="shared" si="1"/>
        <v>45869</v>
      </c>
      <c r="D14" s="6">
        <v>0</v>
      </c>
      <c r="E14" s="6">
        <v>0</v>
      </c>
      <c r="F14" s="6">
        <v>0</v>
      </c>
      <c r="G14" s="33">
        <v>-4514</v>
      </c>
      <c r="H14" s="6">
        <v>0</v>
      </c>
      <c r="I14" s="6">
        <v>0</v>
      </c>
      <c r="J14" s="6">
        <f>45869-4514</f>
        <v>41355</v>
      </c>
    </row>
    <row r="15" spans="1:10" ht="30">
      <c r="A15" s="7" t="s">
        <v>22</v>
      </c>
      <c r="B15" s="7" t="s">
        <v>23</v>
      </c>
      <c r="C15" s="6">
        <f t="shared" si="1"/>
        <v>15486</v>
      </c>
      <c r="D15" s="6">
        <v>0</v>
      </c>
      <c r="E15" s="6">
        <v>0</v>
      </c>
      <c r="F15" s="6">
        <v>0</v>
      </c>
      <c r="G15" s="15">
        <v>9349</v>
      </c>
      <c r="H15" s="15">
        <v>2500</v>
      </c>
      <c r="I15" s="6">
        <v>0</v>
      </c>
      <c r="J15" s="6">
        <f>15486+9349+2500</f>
        <v>27335</v>
      </c>
    </row>
    <row r="16" spans="1:10" s="38" customFormat="1" ht="14.25">
      <c r="A16" s="8" t="s">
        <v>24</v>
      </c>
      <c r="B16" s="8" t="s">
        <v>25</v>
      </c>
      <c r="C16" s="4">
        <f t="shared" si="1"/>
        <v>212344.44999999995</v>
      </c>
      <c r="D16" s="16">
        <f>D17+D18</f>
        <v>0</v>
      </c>
      <c r="E16" s="16">
        <f>E17+E18</f>
        <v>0</v>
      </c>
      <c r="F16" s="16">
        <f aca="true" t="shared" si="5" ref="F16:J16">F17+F18</f>
        <v>51.98</v>
      </c>
      <c r="G16" s="29">
        <f t="shared" si="5"/>
        <v>-15502.7</v>
      </c>
      <c r="H16" s="16">
        <f t="shared" si="5"/>
        <v>5843.01</v>
      </c>
      <c r="I16" s="16">
        <f t="shared" si="5"/>
        <v>2312.16</v>
      </c>
      <c r="J16" s="16">
        <f t="shared" si="5"/>
        <v>205048.89999999997</v>
      </c>
    </row>
    <row r="17" spans="1:10" ht="12.75">
      <c r="A17" s="7" t="s">
        <v>26</v>
      </c>
      <c r="B17" s="7" t="s">
        <v>27</v>
      </c>
      <c r="C17" s="6">
        <f t="shared" si="1"/>
        <v>71953</v>
      </c>
      <c r="D17" s="6">
        <v>0</v>
      </c>
      <c r="E17" s="6">
        <v>0</v>
      </c>
      <c r="F17" s="6">
        <v>0</v>
      </c>
      <c r="G17" s="33">
        <v>-9295</v>
      </c>
      <c r="H17" s="6">
        <v>0</v>
      </c>
      <c r="I17" s="6">
        <v>0</v>
      </c>
      <c r="J17" s="6">
        <f>71953-9295</f>
        <v>62658</v>
      </c>
    </row>
    <row r="18" spans="1:10" ht="12.75">
      <c r="A18" s="7" t="s">
        <v>28</v>
      </c>
      <c r="B18" s="7" t="s">
        <v>29</v>
      </c>
      <c r="C18" s="6">
        <f t="shared" si="1"/>
        <v>140391.44999999995</v>
      </c>
      <c r="D18" s="6">
        <v>0</v>
      </c>
      <c r="E18" s="6">
        <v>0</v>
      </c>
      <c r="F18" s="15">
        <v>51.98</v>
      </c>
      <c r="G18" s="33">
        <v>-6207.700000000001</v>
      </c>
      <c r="H18" s="15">
        <v>5843.01</v>
      </c>
      <c r="I18" s="15">
        <v>2312.16</v>
      </c>
      <c r="J18" s="6">
        <f>122288+5185+10550.08+2368.37+51.98+8487-14694.7+4000.71+750+1092.3+2312.16</f>
        <v>142390.89999999997</v>
      </c>
    </row>
    <row r="19" spans="1:10" s="38" customFormat="1" ht="14.25">
      <c r="A19" s="8" t="s">
        <v>30</v>
      </c>
      <c r="B19" s="3" t="s">
        <v>31</v>
      </c>
      <c r="C19" s="4">
        <f t="shared" si="1"/>
        <v>15621</v>
      </c>
      <c r="D19" s="4">
        <f>D20+D21</f>
        <v>0</v>
      </c>
      <c r="E19" s="4">
        <f>E20+E21</f>
        <v>0</v>
      </c>
      <c r="F19" s="4">
        <f aca="true" t="shared" si="6" ref="F19:J19">F20+F21</f>
        <v>0</v>
      </c>
      <c r="G19" s="4">
        <f t="shared" si="6"/>
        <v>0</v>
      </c>
      <c r="H19" s="4">
        <f t="shared" si="6"/>
        <v>0</v>
      </c>
      <c r="I19" s="4">
        <f t="shared" si="6"/>
        <v>0</v>
      </c>
      <c r="J19" s="4">
        <f t="shared" si="6"/>
        <v>15621</v>
      </c>
    </row>
    <row r="20" spans="1:10" ht="30">
      <c r="A20" s="5" t="s">
        <v>32</v>
      </c>
      <c r="B20" s="5" t="s">
        <v>33</v>
      </c>
      <c r="C20" s="6">
        <f t="shared" si="1"/>
        <v>15371</v>
      </c>
      <c r="D20" s="6">
        <v>0</v>
      </c>
      <c r="E20" s="6">
        <v>0</v>
      </c>
      <c r="F20" s="6">
        <v>0</v>
      </c>
      <c r="G20" s="6">
        <v>0</v>
      </c>
      <c r="H20" s="6">
        <v>0</v>
      </c>
      <c r="I20" s="6">
        <v>0</v>
      </c>
      <c r="J20" s="6">
        <v>15371</v>
      </c>
    </row>
    <row r="21" spans="1:10" ht="30">
      <c r="A21" s="9" t="s">
        <v>34</v>
      </c>
      <c r="B21" s="20" t="s">
        <v>35</v>
      </c>
      <c r="C21" s="6">
        <f t="shared" si="1"/>
        <v>250</v>
      </c>
      <c r="D21" s="6">
        <v>0</v>
      </c>
      <c r="E21" s="6">
        <v>0</v>
      </c>
      <c r="F21" s="6">
        <v>0</v>
      </c>
      <c r="G21" s="6">
        <v>0</v>
      </c>
      <c r="H21" s="6">
        <v>0</v>
      </c>
      <c r="I21" s="6">
        <v>0</v>
      </c>
      <c r="J21" s="6">
        <v>250</v>
      </c>
    </row>
    <row r="22" spans="1:10" s="38" customFormat="1" ht="28.5">
      <c r="A22" s="8" t="s">
        <v>36</v>
      </c>
      <c r="B22" s="3" t="s">
        <v>37</v>
      </c>
      <c r="C22" s="4">
        <f t="shared" si="1"/>
        <v>89923.57</v>
      </c>
      <c r="D22" s="4">
        <f>D23+D24+D25</f>
        <v>0</v>
      </c>
      <c r="E22" s="4">
        <f>E23+E24+E25</f>
        <v>0</v>
      </c>
      <c r="F22" s="4">
        <f aca="true" t="shared" si="7" ref="F22:J22">F23+F24+F25</f>
        <v>0</v>
      </c>
      <c r="G22" s="30">
        <f t="shared" si="7"/>
        <v>-95</v>
      </c>
      <c r="H22" s="4">
        <f t="shared" si="7"/>
        <v>0</v>
      </c>
      <c r="I22" s="4">
        <f t="shared" si="7"/>
        <v>162.78</v>
      </c>
      <c r="J22" s="4">
        <f t="shared" si="7"/>
        <v>89991.35</v>
      </c>
    </row>
    <row r="23" spans="1:10" ht="90">
      <c r="A23" s="7" t="s">
        <v>38</v>
      </c>
      <c r="B23" s="5" t="s">
        <v>39</v>
      </c>
      <c r="C23" s="6">
        <f t="shared" si="1"/>
        <v>89328.57</v>
      </c>
      <c r="D23" s="6">
        <v>0</v>
      </c>
      <c r="E23" s="6">
        <v>0</v>
      </c>
      <c r="F23" s="6">
        <v>0</v>
      </c>
      <c r="G23" s="6">
        <v>0</v>
      </c>
      <c r="H23" s="6">
        <v>0</v>
      </c>
      <c r="I23" s="6">
        <v>162.78</v>
      </c>
      <c r="J23" s="6">
        <f>2715.57+86613+162.78</f>
        <v>89491.35</v>
      </c>
    </row>
    <row r="24" spans="1:10" ht="30">
      <c r="A24" s="7" t="s">
        <v>269</v>
      </c>
      <c r="B24" s="5" t="s">
        <v>270</v>
      </c>
      <c r="C24" s="6">
        <f t="shared" si="1"/>
        <v>95</v>
      </c>
      <c r="D24" s="6">
        <v>0</v>
      </c>
      <c r="E24" s="6">
        <v>0</v>
      </c>
      <c r="F24" s="6">
        <v>0</v>
      </c>
      <c r="G24" s="32">
        <v>-95</v>
      </c>
      <c r="H24" s="6">
        <v>0</v>
      </c>
      <c r="I24" s="6">
        <v>0</v>
      </c>
      <c r="J24" s="39">
        <v>0</v>
      </c>
    </row>
    <row r="25" spans="1:10" ht="75">
      <c r="A25" s="7" t="s">
        <v>40</v>
      </c>
      <c r="B25" s="5" t="s">
        <v>41</v>
      </c>
      <c r="C25" s="6">
        <f t="shared" si="1"/>
        <v>500</v>
      </c>
      <c r="D25" s="6">
        <v>0</v>
      </c>
      <c r="E25" s="6">
        <v>0</v>
      </c>
      <c r="F25" s="6">
        <v>0</v>
      </c>
      <c r="G25" s="6">
        <v>0</v>
      </c>
      <c r="H25" s="6">
        <v>0</v>
      </c>
      <c r="I25" s="6">
        <v>0</v>
      </c>
      <c r="J25" s="6">
        <v>500</v>
      </c>
    </row>
    <row r="26" spans="1:10" s="38" customFormat="1" ht="14.25">
      <c r="A26" s="8" t="s">
        <v>42</v>
      </c>
      <c r="B26" s="3" t="s">
        <v>43</v>
      </c>
      <c r="C26" s="4">
        <f>C27</f>
        <v>9554.35</v>
      </c>
      <c r="D26" s="4">
        <f aca="true" t="shared" si="8" ref="D26:J26">D27</f>
        <v>0</v>
      </c>
      <c r="E26" s="4">
        <f t="shared" si="8"/>
        <v>0</v>
      </c>
      <c r="F26" s="4">
        <f t="shared" si="8"/>
        <v>0</v>
      </c>
      <c r="G26" s="4">
        <f t="shared" si="8"/>
        <v>0</v>
      </c>
      <c r="H26" s="4">
        <f t="shared" si="8"/>
        <v>0</v>
      </c>
      <c r="I26" s="4">
        <f t="shared" si="8"/>
        <v>0</v>
      </c>
      <c r="J26" s="4">
        <f t="shared" si="8"/>
        <v>9554.35</v>
      </c>
    </row>
    <row r="27" spans="1:10" ht="12.75">
      <c r="A27" s="7" t="s">
        <v>44</v>
      </c>
      <c r="B27" s="5" t="s">
        <v>45</v>
      </c>
      <c r="C27" s="6">
        <f t="shared" si="1"/>
        <v>9554.35</v>
      </c>
      <c r="D27" s="6">
        <v>0</v>
      </c>
      <c r="E27" s="6">
        <v>0</v>
      </c>
      <c r="F27" s="6">
        <v>0</v>
      </c>
      <c r="G27" s="6">
        <v>0</v>
      </c>
      <c r="H27" s="6">
        <v>0</v>
      </c>
      <c r="I27" s="6">
        <v>0</v>
      </c>
      <c r="J27" s="6">
        <v>9554.35</v>
      </c>
    </row>
    <row r="28" spans="1:10" s="38" customFormat="1" ht="28.5">
      <c r="A28" s="8" t="s">
        <v>46</v>
      </c>
      <c r="B28" s="10" t="s">
        <v>47</v>
      </c>
      <c r="C28" s="4">
        <f t="shared" si="1"/>
        <v>1105.4100000000003</v>
      </c>
      <c r="D28" s="17">
        <f>D29+D30</f>
        <v>0</v>
      </c>
      <c r="E28" s="17">
        <f>E29+E30</f>
        <v>2702.89</v>
      </c>
      <c r="F28" s="17">
        <f aca="true" t="shared" si="9" ref="F28:J28">F29+F30</f>
        <v>178.51</v>
      </c>
      <c r="G28" s="17">
        <f t="shared" si="9"/>
        <v>1737.84</v>
      </c>
      <c r="H28" s="17">
        <f t="shared" si="9"/>
        <v>120</v>
      </c>
      <c r="I28" s="17">
        <f t="shared" si="9"/>
        <v>249.61</v>
      </c>
      <c r="J28" s="17">
        <f t="shared" si="9"/>
        <v>6094.26</v>
      </c>
    </row>
    <row r="29" spans="1:10" ht="12.75">
      <c r="A29" s="7" t="s">
        <v>48</v>
      </c>
      <c r="B29" s="11" t="s">
        <v>49</v>
      </c>
      <c r="C29" s="6">
        <f t="shared" si="1"/>
        <v>632.0000000000001</v>
      </c>
      <c r="D29" s="6">
        <v>0</v>
      </c>
      <c r="E29" s="23">
        <v>167.91</v>
      </c>
      <c r="F29" s="13">
        <v>64.25</v>
      </c>
      <c r="G29" s="13">
        <v>479.52</v>
      </c>
      <c r="H29" s="13">
        <v>120</v>
      </c>
      <c r="I29" s="6">
        <v>0</v>
      </c>
      <c r="J29" s="6">
        <f>632+167.91+64.25+276.51+203.01+120</f>
        <v>1463.68</v>
      </c>
    </row>
    <row r="30" spans="1:10" ht="12.75">
      <c r="A30" s="7" t="s">
        <v>50</v>
      </c>
      <c r="B30" s="5" t="s">
        <v>51</v>
      </c>
      <c r="C30" s="6">
        <f t="shared" si="1"/>
        <v>473.4100000000003</v>
      </c>
      <c r="D30" s="6">
        <v>0</v>
      </c>
      <c r="E30" s="23">
        <v>2534.98</v>
      </c>
      <c r="F30" s="6">
        <v>114.26</v>
      </c>
      <c r="G30" s="6">
        <v>1258.32</v>
      </c>
      <c r="H30" s="6">
        <v>0</v>
      </c>
      <c r="I30" s="6">
        <v>249.61</v>
      </c>
      <c r="J30" s="6">
        <f>473.41+2534.98+113.42+0.84+395.32+863+17.61+232</f>
        <v>4630.58</v>
      </c>
    </row>
    <row r="31" spans="1:10" s="38" customFormat="1" ht="28.5">
      <c r="A31" s="8" t="s">
        <v>52</v>
      </c>
      <c r="B31" s="3" t="s">
        <v>53</v>
      </c>
      <c r="C31" s="4">
        <f t="shared" si="1"/>
        <v>7000</v>
      </c>
      <c r="D31" s="4">
        <f aca="true" t="shared" si="10" ref="D31:F31">D32</f>
        <v>28000</v>
      </c>
      <c r="E31" s="4">
        <f t="shared" si="10"/>
        <v>0</v>
      </c>
      <c r="F31" s="4">
        <f t="shared" si="10"/>
        <v>0</v>
      </c>
      <c r="G31" s="4">
        <f>G32</f>
        <v>3200</v>
      </c>
      <c r="H31" s="4">
        <f aca="true" t="shared" si="11" ref="H31:J31">H32</f>
        <v>2000</v>
      </c>
      <c r="I31" s="4">
        <f t="shared" si="11"/>
        <v>0</v>
      </c>
      <c r="J31" s="4">
        <f t="shared" si="11"/>
        <v>40200</v>
      </c>
    </row>
    <row r="32" spans="1:10" ht="30">
      <c r="A32" s="7" t="s">
        <v>54</v>
      </c>
      <c r="B32" s="5" t="s">
        <v>55</v>
      </c>
      <c r="C32" s="6">
        <f t="shared" si="1"/>
        <v>7000</v>
      </c>
      <c r="D32" s="6">
        <v>28000</v>
      </c>
      <c r="E32" s="6">
        <v>0</v>
      </c>
      <c r="F32" s="6">
        <v>0</v>
      </c>
      <c r="G32" s="6">
        <v>3200</v>
      </c>
      <c r="H32" s="6">
        <v>2000</v>
      </c>
      <c r="I32" s="6">
        <v>0</v>
      </c>
      <c r="J32" s="6">
        <f>7000+28000+3200+2000</f>
        <v>40200</v>
      </c>
    </row>
    <row r="33" spans="1:10" s="38" customFormat="1" ht="14.25">
      <c r="A33" s="8" t="s">
        <v>56</v>
      </c>
      <c r="B33" s="3" t="s">
        <v>57</v>
      </c>
      <c r="C33" s="4">
        <f t="shared" si="1"/>
        <v>1092.17</v>
      </c>
      <c r="D33" s="4">
        <f aca="true" t="shared" si="12" ref="D33:F33">D34+D35+D36+D37+D38</f>
        <v>0</v>
      </c>
      <c r="E33" s="4">
        <f t="shared" si="12"/>
        <v>0</v>
      </c>
      <c r="F33" s="4">
        <f t="shared" si="12"/>
        <v>0</v>
      </c>
      <c r="G33" s="4">
        <f>G34+G35+G36+G37+G38</f>
        <v>2100</v>
      </c>
      <c r="H33" s="4">
        <f aca="true" t="shared" si="13" ref="H33">H34+H35+H36+H37+H38</f>
        <v>0</v>
      </c>
      <c r="I33" s="4">
        <f aca="true" t="shared" si="14" ref="I33">I34+I35+I36+I37+I38</f>
        <v>0</v>
      </c>
      <c r="J33" s="4">
        <f>J34+J35+J36+J37+J38</f>
        <v>3192.17</v>
      </c>
    </row>
    <row r="34" spans="1:10" ht="30">
      <c r="A34" s="7" t="s">
        <v>58</v>
      </c>
      <c r="B34" s="5" t="s">
        <v>59</v>
      </c>
      <c r="C34" s="6">
        <f t="shared" si="1"/>
        <v>1092.17</v>
      </c>
      <c r="D34" s="6">
        <v>0</v>
      </c>
      <c r="E34" s="6">
        <v>0</v>
      </c>
      <c r="F34" s="6">
        <v>0</v>
      </c>
      <c r="G34" s="6">
        <v>957</v>
      </c>
      <c r="H34" s="6">
        <v>0</v>
      </c>
      <c r="I34" s="6">
        <v>0</v>
      </c>
      <c r="J34" s="6">
        <f>1092.17+957</f>
        <v>2049.17</v>
      </c>
    </row>
    <row r="35" spans="1:10" ht="30">
      <c r="A35" s="7" t="s">
        <v>60</v>
      </c>
      <c r="B35" s="5" t="s">
        <v>61</v>
      </c>
      <c r="C35" s="6">
        <f t="shared" si="1"/>
        <v>0</v>
      </c>
      <c r="D35" s="6">
        <v>0</v>
      </c>
      <c r="E35" s="6">
        <v>0</v>
      </c>
      <c r="F35" s="6">
        <v>0</v>
      </c>
      <c r="G35" s="6">
        <v>67</v>
      </c>
      <c r="H35" s="6">
        <v>0</v>
      </c>
      <c r="I35" s="6">
        <v>0</v>
      </c>
      <c r="J35" s="6">
        <v>67</v>
      </c>
    </row>
    <row r="36" spans="1:10" ht="105">
      <c r="A36" s="7" t="s">
        <v>62</v>
      </c>
      <c r="B36" s="5" t="s">
        <v>63</v>
      </c>
      <c r="C36" s="6">
        <f t="shared" si="1"/>
        <v>0</v>
      </c>
      <c r="D36" s="6">
        <v>0</v>
      </c>
      <c r="E36" s="6">
        <v>0</v>
      </c>
      <c r="F36" s="6">
        <v>0</v>
      </c>
      <c r="G36" s="6">
        <v>13</v>
      </c>
      <c r="H36" s="6">
        <v>0</v>
      </c>
      <c r="I36" s="6">
        <v>0</v>
      </c>
      <c r="J36" s="6">
        <v>13</v>
      </c>
    </row>
    <row r="37" spans="1:10" ht="12.75">
      <c r="A37" s="7" t="s">
        <v>64</v>
      </c>
      <c r="B37" s="5" t="s">
        <v>65</v>
      </c>
      <c r="C37" s="6">
        <f t="shared" si="1"/>
        <v>0</v>
      </c>
      <c r="D37" s="6">
        <v>0</v>
      </c>
      <c r="E37" s="6">
        <v>0</v>
      </c>
      <c r="F37" s="6">
        <v>0</v>
      </c>
      <c r="G37" s="6">
        <v>277</v>
      </c>
      <c r="H37" s="6">
        <v>0</v>
      </c>
      <c r="I37" s="6">
        <v>0</v>
      </c>
      <c r="J37" s="6">
        <v>277</v>
      </c>
    </row>
    <row r="38" spans="1:10" ht="12.75">
      <c r="A38" s="7" t="s">
        <v>66</v>
      </c>
      <c r="B38" s="5" t="s">
        <v>67</v>
      </c>
      <c r="C38" s="6">
        <f t="shared" si="1"/>
        <v>0</v>
      </c>
      <c r="D38" s="6">
        <v>0</v>
      </c>
      <c r="E38" s="6">
        <v>0</v>
      </c>
      <c r="F38" s="6">
        <v>0</v>
      </c>
      <c r="G38" s="6">
        <v>786</v>
      </c>
      <c r="H38" s="6">
        <v>0</v>
      </c>
      <c r="I38" s="6">
        <v>0</v>
      </c>
      <c r="J38" s="6">
        <v>786</v>
      </c>
    </row>
    <row r="39" spans="1:10" s="38" customFormat="1" ht="14.25">
      <c r="A39" s="8" t="s">
        <v>68</v>
      </c>
      <c r="B39" s="3" t="s">
        <v>69</v>
      </c>
      <c r="C39" s="4">
        <f t="shared" si="1"/>
        <v>1115.55</v>
      </c>
      <c r="D39" s="4">
        <f>D40</f>
        <v>0</v>
      </c>
      <c r="E39" s="4">
        <f>E40</f>
        <v>300</v>
      </c>
      <c r="F39" s="4">
        <f aca="true" t="shared" si="15" ref="F39:J39">F40</f>
        <v>0</v>
      </c>
      <c r="G39" s="4">
        <f t="shared" si="15"/>
        <v>0</v>
      </c>
      <c r="H39" s="4">
        <f t="shared" si="15"/>
        <v>129</v>
      </c>
      <c r="I39" s="4">
        <f t="shared" si="15"/>
        <v>0</v>
      </c>
      <c r="J39" s="4">
        <f t="shared" si="15"/>
        <v>1544.55</v>
      </c>
    </row>
    <row r="40" spans="1:10" ht="12.75">
      <c r="A40" s="8" t="s">
        <v>70</v>
      </c>
      <c r="B40" s="3" t="s">
        <v>71</v>
      </c>
      <c r="C40" s="4">
        <f t="shared" si="1"/>
        <v>1115.55</v>
      </c>
      <c r="D40" s="4">
        <f>SUM(D41:D55)</f>
        <v>0</v>
      </c>
      <c r="E40" s="4">
        <f>SUM(E41:E55)</f>
        <v>300</v>
      </c>
      <c r="F40" s="4">
        <f aca="true" t="shared" si="16" ref="F40:J40">SUM(F41:F55)</f>
        <v>0</v>
      </c>
      <c r="G40" s="4">
        <f t="shared" si="16"/>
        <v>0</v>
      </c>
      <c r="H40" s="4">
        <f t="shared" si="16"/>
        <v>129</v>
      </c>
      <c r="I40" s="4">
        <f t="shared" si="16"/>
        <v>0</v>
      </c>
      <c r="J40" s="4">
        <f t="shared" si="16"/>
        <v>1544.55</v>
      </c>
    </row>
    <row r="41" spans="1:10" ht="60">
      <c r="A41" s="7" t="s">
        <v>72</v>
      </c>
      <c r="B41" s="5" t="s">
        <v>73</v>
      </c>
      <c r="C41" s="6">
        <f t="shared" si="1"/>
        <v>100</v>
      </c>
      <c r="D41" s="6">
        <v>0</v>
      </c>
      <c r="E41" s="6">
        <v>0</v>
      </c>
      <c r="F41" s="6">
        <v>0</v>
      </c>
      <c r="G41" s="6">
        <v>0</v>
      </c>
      <c r="H41" s="6">
        <v>0</v>
      </c>
      <c r="I41" s="6">
        <v>0</v>
      </c>
      <c r="J41" s="6">
        <v>100</v>
      </c>
    </row>
    <row r="42" spans="1:10" ht="75">
      <c r="A42" s="7" t="s">
        <v>74</v>
      </c>
      <c r="B42" s="5" t="s">
        <v>75</v>
      </c>
      <c r="C42" s="6">
        <f t="shared" si="1"/>
        <v>120</v>
      </c>
      <c r="D42" s="6">
        <v>0</v>
      </c>
      <c r="E42" s="6">
        <v>0</v>
      </c>
      <c r="F42" s="6">
        <v>0</v>
      </c>
      <c r="G42" s="6">
        <v>0</v>
      </c>
      <c r="H42" s="6">
        <v>0</v>
      </c>
      <c r="I42" s="6">
        <v>0</v>
      </c>
      <c r="J42" s="6">
        <v>120</v>
      </c>
    </row>
    <row r="43" spans="1:10" ht="90">
      <c r="A43" s="7" t="s">
        <v>76</v>
      </c>
      <c r="B43" s="5" t="s">
        <v>77</v>
      </c>
      <c r="C43" s="6">
        <f t="shared" si="1"/>
        <v>120</v>
      </c>
      <c r="D43" s="6">
        <v>0</v>
      </c>
      <c r="E43" s="6">
        <v>0</v>
      </c>
      <c r="F43" s="6">
        <v>0</v>
      </c>
      <c r="G43" s="6">
        <v>0</v>
      </c>
      <c r="H43" s="6">
        <v>0</v>
      </c>
      <c r="I43" s="6">
        <v>0</v>
      </c>
      <c r="J43" s="6">
        <v>120</v>
      </c>
    </row>
    <row r="44" spans="1:10" ht="60">
      <c r="A44" s="7" t="s">
        <v>78</v>
      </c>
      <c r="B44" s="5" t="s">
        <v>79</v>
      </c>
      <c r="C44" s="6">
        <f t="shared" si="1"/>
        <v>120.55</v>
      </c>
      <c r="D44" s="6">
        <v>0</v>
      </c>
      <c r="E44" s="6">
        <v>0</v>
      </c>
      <c r="F44" s="6">
        <v>0</v>
      </c>
      <c r="G44" s="6">
        <v>0</v>
      </c>
      <c r="H44" s="6">
        <v>0</v>
      </c>
      <c r="I44" s="6">
        <v>0</v>
      </c>
      <c r="J44" s="6">
        <v>120.55</v>
      </c>
    </row>
    <row r="45" spans="1:10" ht="60">
      <c r="A45" s="7" t="s">
        <v>80</v>
      </c>
      <c r="B45" s="5" t="s">
        <v>81</v>
      </c>
      <c r="C45" s="6">
        <f t="shared" si="1"/>
        <v>0</v>
      </c>
      <c r="D45" s="6">
        <v>0</v>
      </c>
      <c r="E45" s="6">
        <v>120</v>
      </c>
      <c r="F45" s="6">
        <v>0</v>
      </c>
      <c r="G45" s="6">
        <v>0</v>
      </c>
      <c r="H45" s="6">
        <v>0</v>
      </c>
      <c r="I45" s="6">
        <v>0</v>
      </c>
      <c r="J45" s="6">
        <v>120</v>
      </c>
    </row>
    <row r="46" spans="1:10" ht="60">
      <c r="A46" s="7" t="s">
        <v>82</v>
      </c>
      <c r="B46" s="5" t="s">
        <v>83</v>
      </c>
      <c r="C46" s="6">
        <f t="shared" si="1"/>
        <v>0</v>
      </c>
      <c r="D46" s="6">
        <v>0</v>
      </c>
      <c r="E46" s="6">
        <v>0</v>
      </c>
      <c r="F46" s="6">
        <v>0</v>
      </c>
      <c r="G46" s="6">
        <v>0</v>
      </c>
      <c r="H46" s="6">
        <v>50</v>
      </c>
      <c r="I46" s="6">
        <v>0</v>
      </c>
      <c r="J46" s="6">
        <v>50</v>
      </c>
    </row>
    <row r="47" spans="1:10" ht="75">
      <c r="A47" s="7" t="s">
        <v>84</v>
      </c>
      <c r="B47" s="5" t="s">
        <v>85</v>
      </c>
      <c r="C47" s="6">
        <f t="shared" si="1"/>
        <v>0</v>
      </c>
      <c r="D47" s="6">
        <v>0</v>
      </c>
      <c r="E47" s="6">
        <v>0</v>
      </c>
      <c r="F47" s="6">
        <v>0</v>
      </c>
      <c r="G47" s="6">
        <v>0</v>
      </c>
      <c r="H47" s="6">
        <v>20.5</v>
      </c>
      <c r="I47" s="6">
        <v>0</v>
      </c>
      <c r="J47" s="6">
        <v>20.5</v>
      </c>
    </row>
    <row r="48" spans="1:10" ht="75">
      <c r="A48" s="7" t="s">
        <v>86</v>
      </c>
      <c r="B48" s="5" t="s">
        <v>87</v>
      </c>
      <c r="C48" s="6">
        <f t="shared" si="1"/>
        <v>0</v>
      </c>
      <c r="D48" s="6">
        <v>0</v>
      </c>
      <c r="E48" s="6">
        <v>0</v>
      </c>
      <c r="F48" s="6">
        <v>0</v>
      </c>
      <c r="G48" s="6">
        <v>0</v>
      </c>
      <c r="H48" s="6">
        <v>18.5</v>
      </c>
      <c r="I48" s="6">
        <v>0</v>
      </c>
      <c r="J48" s="6">
        <v>18.5</v>
      </c>
    </row>
    <row r="49" spans="1:10" ht="75">
      <c r="A49" s="7" t="s">
        <v>88</v>
      </c>
      <c r="B49" s="5" t="s">
        <v>89</v>
      </c>
      <c r="C49" s="6">
        <f t="shared" si="1"/>
        <v>200</v>
      </c>
      <c r="D49" s="6">
        <v>0</v>
      </c>
      <c r="E49" s="6">
        <v>0</v>
      </c>
      <c r="F49" s="6">
        <v>0</v>
      </c>
      <c r="G49" s="6">
        <v>0</v>
      </c>
      <c r="H49" s="6">
        <v>0</v>
      </c>
      <c r="I49" s="6">
        <v>0</v>
      </c>
      <c r="J49" s="6">
        <v>200</v>
      </c>
    </row>
    <row r="50" spans="1:10" ht="75">
      <c r="A50" s="7" t="s">
        <v>90</v>
      </c>
      <c r="B50" s="5" t="s">
        <v>91</v>
      </c>
      <c r="C50" s="6">
        <f t="shared" si="1"/>
        <v>0</v>
      </c>
      <c r="D50" s="6">
        <v>0</v>
      </c>
      <c r="E50" s="6">
        <v>180</v>
      </c>
      <c r="F50" s="6">
        <v>0</v>
      </c>
      <c r="G50" s="6">
        <v>0</v>
      </c>
      <c r="H50" s="6">
        <v>0</v>
      </c>
      <c r="I50" s="6">
        <v>0</v>
      </c>
      <c r="J50" s="6">
        <v>180</v>
      </c>
    </row>
    <row r="51" spans="1:10" ht="75">
      <c r="A51" s="7" t="s">
        <v>92</v>
      </c>
      <c r="B51" s="5" t="s">
        <v>93</v>
      </c>
      <c r="C51" s="6">
        <f t="shared" si="1"/>
        <v>0</v>
      </c>
      <c r="D51" s="6">
        <v>0</v>
      </c>
      <c r="E51" s="6">
        <v>0</v>
      </c>
      <c r="F51" s="6">
        <v>0</v>
      </c>
      <c r="G51" s="6">
        <v>0</v>
      </c>
      <c r="H51" s="6">
        <v>20</v>
      </c>
      <c r="I51" s="6">
        <v>0</v>
      </c>
      <c r="J51" s="6">
        <v>20</v>
      </c>
    </row>
    <row r="52" spans="1:10" ht="75">
      <c r="A52" s="7" t="s">
        <v>94</v>
      </c>
      <c r="B52" s="5" t="s">
        <v>95</v>
      </c>
      <c r="C52" s="6">
        <f t="shared" si="1"/>
        <v>0</v>
      </c>
      <c r="D52" s="6">
        <v>0</v>
      </c>
      <c r="E52" s="6">
        <v>0</v>
      </c>
      <c r="F52" s="6">
        <v>0</v>
      </c>
      <c r="G52" s="6">
        <v>0</v>
      </c>
      <c r="H52" s="6">
        <v>20</v>
      </c>
      <c r="I52" s="6">
        <v>0</v>
      </c>
      <c r="J52" s="6">
        <v>20</v>
      </c>
    </row>
    <row r="53" spans="1:10" ht="75">
      <c r="A53" s="7" t="s">
        <v>96</v>
      </c>
      <c r="B53" s="5" t="s">
        <v>97</v>
      </c>
      <c r="C53" s="6">
        <f t="shared" si="1"/>
        <v>150</v>
      </c>
      <c r="D53" s="6">
        <v>0</v>
      </c>
      <c r="E53" s="6">
        <v>0</v>
      </c>
      <c r="F53" s="6">
        <v>0</v>
      </c>
      <c r="G53" s="6">
        <v>0</v>
      </c>
      <c r="H53" s="6">
        <v>0</v>
      </c>
      <c r="I53" s="6">
        <v>0</v>
      </c>
      <c r="J53" s="6">
        <v>150</v>
      </c>
    </row>
    <row r="54" spans="1:10" ht="90">
      <c r="A54" s="7" t="s">
        <v>98</v>
      </c>
      <c r="B54" s="5" t="s">
        <v>99</v>
      </c>
      <c r="C54" s="6">
        <f t="shared" si="1"/>
        <v>155</v>
      </c>
      <c r="D54" s="6">
        <v>0</v>
      </c>
      <c r="E54" s="6">
        <v>0</v>
      </c>
      <c r="F54" s="6">
        <v>0</v>
      </c>
      <c r="G54" s="6">
        <v>0</v>
      </c>
      <c r="H54" s="6">
        <v>0</v>
      </c>
      <c r="I54" s="6">
        <v>0</v>
      </c>
      <c r="J54" s="6">
        <v>155</v>
      </c>
    </row>
    <row r="55" spans="1:10" ht="60">
      <c r="A55" s="7" t="s">
        <v>100</v>
      </c>
      <c r="B55" s="5" t="s">
        <v>101</v>
      </c>
      <c r="C55" s="6">
        <f t="shared" si="1"/>
        <v>150</v>
      </c>
      <c r="D55" s="6">
        <v>0</v>
      </c>
      <c r="E55" s="6">
        <v>0</v>
      </c>
      <c r="F55" s="6">
        <v>0</v>
      </c>
      <c r="G55" s="6">
        <v>0</v>
      </c>
      <c r="H55" s="6">
        <v>0</v>
      </c>
      <c r="I55" s="6">
        <v>0</v>
      </c>
      <c r="J55" s="6">
        <v>150</v>
      </c>
    </row>
    <row r="56" spans="1:10" s="38" customFormat="1" ht="14.25">
      <c r="A56" s="8" t="s">
        <v>102</v>
      </c>
      <c r="B56" s="8" t="s">
        <v>103</v>
      </c>
      <c r="C56" s="4">
        <f t="shared" si="1"/>
        <v>2732187.33</v>
      </c>
      <c r="D56" s="16">
        <f>D57+D127+D130+D133</f>
        <v>207209.95</v>
      </c>
      <c r="E56" s="29">
        <f>E57+E127+E130+E133</f>
        <v>-35495.170000000006</v>
      </c>
      <c r="F56" s="16">
        <f>F57+F127+F130+F133</f>
        <v>35396.75</v>
      </c>
      <c r="G56" s="16">
        <f aca="true" t="shared" si="17" ref="G56:J56">G57+G127+G130+G133</f>
        <v>34267.520000000004</v>
      </c>
      <c r="H56" s="16">
        <f t="shared" si="17"/>
        <v>0</v>
      </c>
      <c r="I56" s="29">
        <f t="shared" si="17"/>
        <v>-104934.16</v>
      </c>
      <c r="J56" s="16">
        <f t="shared" si="17"/>
        <v>2868632.22</v>
      </c>
    </row>
    <row r="57" spans="1:10" s="38" customFormat="1" ht="28.5">
      <c r="A57" s="8" t="s">
        <v>104</v>
      </c>
      <c r="B57" s="3" t="s">
        <v>105</v>
      </c>
      <c r="C57" s="4">
        <f t="shared" si="1"/>
        <v>2732059.9600000004</v>
      </c>
      <c r="D57" s="4">
        <f>D58+D61+D83+D118</f>
        <v>202441.56</v>
      </c>
      <c r="E57" s="30">
        <f>E58+E61+E83+E118</f>
        <v>-32960.19</v>
      </c>
      <c r="F57" s="4">
        <f>F58+F61+F83+F118</f>
        <v>35396.75</v>
      </c>
      <c r="G57" s="4">
        <f aca="true" t="shared" si="18" ref="G57:J57">G58+G61+G83+G118</f>
        <v>50298.94</v>
      </c>
      <c r="H57" s="4">
        <f t="shared" si="18"/>
        <v>0</v>
      </c>
      <c r="I57" s="30">
        <f t="shared" si="18"/>
        <v>-104934.16</v>
      </c>
      <c r="J57" s="4">
        <f t="shared" si="18"/>
        <v>2882302.8600000003</v>
      </c>
    </row>
    <row r="58" spans="1:10" s="38" customFormat="1" ht="28.5">
      <c r="A58" s="8" t="s">
        <v>106</v>
      </c>
      <c r="B58" s="3" t="s">
        <v>107</v>
      </c>
      <c r="C58" s="4">
        <f t="shared" si="1"/>
        <v>173219</v>
      </c>
      <c r="D58" s="4">
        <f>D59+D60</f>
        <v>0</v>
      </c>
      <c r="E58" s="4">
        <f>E59+E60</f>
        <v>0</v>
      </c>
      <c r="F58" s="4">
        <f aca="true" t="shared" si="19" ref="F58:J58">F59+F60</f>
        <v>18965.51</v>
      </c>
      <c r="G58" s="4">
        <f t="shared" si="19"/>
        <v>0</v>
      </c>
      <c r="H58" s="4">
        <f t="shared" si="19"/>
        <v>0</v>
      </c>
      <c r="I58" s="4">
        <f t="shared" si="19"/>
        <v>17001.84</v>
      </c>
      <c r="J58" s="4">
        <f t="shared" si="19"/>
        <v>209186.35</v>
      </c>
    </row>
    <row r="59" spans="1:10" ht="45">
      <c r="A59" s="7" t="s">
        <v>108</v>
      </c>
      <c r="B59" s="5" t="s">
        <v>109</v>
      </c>
      <c r="C59" s="6">
        <f t="shared" si="1"/>
        <v>173219</v>
      </c>
      <c r="D59" s="6">
        <v>0</v>
      </c>
      <c r="E59" s="6">
        <v>0</v>
      </c>
      <c r="F59" s="6">
        <v>0</v>
      </c>
      <c r="G59" s="6">
        <v>0</v>
      </c>
      <c r="H59" s="6">
        <v>0</v>
      </c>
      <c r="I59" s="6">
        <v>0</v>
      </c>
      <c r="J59" s="6">
        <v>173219</v>
      </c>
    </row>
    <row r="60" spans="1:10" ht="30">
      <c r="A60" s="7" t="s">
        <v>110</v>
      </c>
      <c r="B60" s="5" t="s">
        <v>111</v>
      </c>
      <c r="C60" s="6">
        <f t="shared" si="1"/>
        <v>0</v>
      </c>
      <c r="D60" s="6">
        <v>0</v>
      </c>
      <c r="E60" s="6">
        <v>0</v>
      </c>
      <c r="F60" s="23">
        <v>18965.51</v>
      </c>
      <c r="G60" s="6">
        <v>0</v>
      </c>
      <c r="H60" s="6">
        <v>0</v>
      </c>
      <c r="I60" s="6">
        <v>17001.84</v>
      </c>
      <c r="J60" s="6">
        <f>18965.51+15871.11+1130.73</f>
        <v>35967.35</v>
      </c>
    </row>
    <row r="61" spans="1:10" s="38" customFormat="1" ht="28.5">
      <c r="A61" s="8" t="s">
        <v>112</v>
      </c>
      <c r="B61" s="3" t="s">
        <v>113</v>
      </c>
      <c r="C61" s="4">
        <f t="shared" si="1"/>
        <v>662341.49</v>
      </c>
      <c r="D61" s="4">
        <f>SUM(D62:D82)</f>
        <v>202441.56</v>
      </c>
      <c r="E61" s="30">
        <f>SUM(E62:E82)</f>
        <v>-38363.229999999996</v>
      </c>
      <c r="F61" s="4">
        <f aca="true" t="shared" si="20" ref="F61:J61">SUM(F62:F82)</f>
        <v>12359.04</v>
      </c>
      <c r="G61" s="30">
        <f t="shared" si="20"/>
        <v>-14262.809999999998</v>
      </c>
      <c r="H61" s="4">
        <f t="shared" si="20"/>
        <v>0</v>
      </c>
      <c r="I61" s="30">
        <f t="shared" si="20"/>
        <v>-209690.85</v>
      </c>
      <c r="J61" s="4">
        <f t="shared" si="20"/>
        <v>614825.2000000002</v>
      </c>
    </row>
    <row r="62" spans="1:10" ht="60">
      <c r="A62" s="7" t="s">
        <v>114</v>
      </c>
      <c r="B62" s="5" t="s">
        <v>115</v>
      </c>
      <c r="C62" s="6">
        <f t="shared" si="1"/>
        <v>0</v>
      </c>
      <c r="D62" s="6">
        <v>99000</v>
      </c>
      <c r="E62" s="6">
        <v>0</v>
      </c>
      <c r="F62" s="6">
        <v>0</v>
      </c>
      <c r="G62" s="6">
        <v>0</v>
      </c>
      <c r="H62" s="6">
        <v>0</v>
      </c>
      <c r="I62" s="32">
        <v>-49500</v>
      </c>
      <c r="J62" s="6">
        <f>100000-1000-49500</f>
        <v>49500</v>
      </c>
    </row>
    <row r="63" spans="1:10" ht="90">
      <c r="A63" s="12" t="s">
        <v>116</v>
      </c>
      <c r="B63" s="11" t="s">
        <v>117</v>
      </c>
      <c r="C63" s="6">
        <f t="shared" si="1"/>
        <v>187031.66000000003</v>
      </c>
      <c r="D63" s="13">
        <v>100000</v>
      </c>
      <c r="E63" s="6">
        <v>0</v>
      </c>
      <c r="F63" s="6">
        <v>0</v>
      </c>
      <c r="G63" s="6">
        <v>0</v>
      </c>
      <c r="H63" s="6">
        <v>0</v>
      </c>
      <c r="I63" s="31">
        <v>-162127.76</v>
      </c>
      <c r="J63" s="13">
        <f>92217.59+94814.07+100000-162127.76</f>
        <v>124903.90000000002</v>
      </c>
    </row>
    <row r="64" spans="1:10" ht="60">
      <c r="A64" s="12" t="s">
        <v>118</v>
      </c>
      <c r="B64" s="11" t="s">
        <v>119</v>
      </c>
      <c r="C64" s="6">
        <f t="shared" si="1"/>
        <v>1445.92</v>
      </c>
      <c r="D64" s="6">
        <v>0</v>
      </c>
      <c r="E64" s="6">
        <v>0</v>
      </c>
      <c r="F64" s="6">
        <v>0</v>
      </c>
      <c r="G64" s="6">
        <v>0</v>
      </c>
      <c r="H64" s="6">
        <v>0</v>
      </c>
      <c r="I64" s="6">
        <v>0</v>
      </c>
      <c r="J64" s="13">
        <v>1445.92</v>
      </c>
    </row>
    <row r="65" spans="1:10" ht="45">
      <c r="A65" s="12" t="s">
        <v>120</v>
      </c>
      <c r="B65" s="11" t="s">
        <v>121</v>
      </c>
      <c r="C65" s="6">
        <f t="shared" si="1"/>
        <v>0</v>
      </c>
      <c r="D65" s="6">
        <v>0</v>
      </c>
      <c r="E65" s="6">
        <v>0</v>
      </c>
      <c r="F65" s="6">
        <v>0</v>
      </c>
      <c r="G65" s="6">
        <v>0</v>
      </c>
      <c r="H65" s="6">
        <v>0</v>
      </c>
      <c r="I65" s="13">
        <v>849.13</v>
      </c>
      <c r="J65" s="13">
        <v>849.13</v>
      </c>
    </row>
    <row r="66" spans="1:10" ht="60">
      <c r="A66" s="12" t="s">
        <v>122</v>
      </c>
      <c r="B66" s="11" t="s">
        <v>123</v>
      </c>
      <c r="C66" s="6">
        <f t="shared" si="1"/>
        <v>56432.62</v>
      </c>
      <c r="D66" s="6">
        <v>0</v>
      </c>
      <c r="E66" s="6">
        <v>0</v>
      </c>
      <c r="F66" s="6">
        <v>0</v>
      </c>
      <c r="G66" s="6">
        <v>0</v>
      </c>
      <c r="H66" s="6">
        <v>0</v>
      </c>
      <c r="I66" s="6">
        <v>0</v>
      </c>
      <c r="J66" s="13">
        <v>56432.62</v>
      </c>
    </row>
    <row r="67" spans="1:10" ht="30">
      <c r="A67" s="12" t="s">
        <v>124</v>
      </c>
      <c r="B67" s="11" t="s">
        <v>125</v>
      </c>
      <c r="C67" s="6">
        <f t="shared" si="1"/>
        <v>31746.14</v>
      </c>
      <c r="D67" s="6">
        <v>0</v>
      </c>
      <c r="E67" s="6">
        <v>0</v>
      </c>
      <c r="F67" s="6">
        <v>0</v>
      </c>
      <c r="G67" s="6">
        <v>0</v>
      </c>
      <c r="H67" s="6">
        <v>0</v>
      </c>
      <c r="I67" s="6">
        <v>0</v>
      </c>
      <c r="J67" s="13">
        <v>31746.14</v>
      </c>
    </row>
    <row r="68" spans="1:10" ht="60">
      <c r="A68" s="12" t="s">
        <v>126</v>
      </c>
      <c r="B68" s="11" t="s">
        <v>127</v>
      </c>
      <c r="C68" s="6">
        <f t="shared" si="1"/>
        <v>0</v>
      </c>
      <c r="D68" s="6">
        <v>0</v>
      </c>
      <c r="E68" s="13">
        <v>2185</v>
      </c>
      <c r="F68" s="6">
        <v>0</v>
      </c>
      <c r="G68" s="6">
        <v>0</v>
      </c>
      <c r="H68" s="6">
        <v>0</v>
      </c>
      <c r="I68" s="6">
        <v>0</v>
      </c>
      <c r="J68" s="13">
        <v>2185</v>
      </c>
    </row>
    <row r="69" spans="1:10" ht="30">
      <c r="A69" s="12" t="s">
        <v>128</v>
      </c>
      <c r="B69" s="11" t="s">
        <v>129</v>
      </c>
      <c r="C69" s="6">
        <f t="shared" si="1"/>
        <v>27239.53</v>
      </c>
      <c r="D69" s="6">
        <v>0</v>
      </c>
      <c r="E69" s="6">
        <v>0</v>
      </c>
      <c r="F69" s="6">
        <v>0</v>
      </c>
      <c r="G69" s="40">
        <f>-2404.6-109.82</f>
        <v>-2514.42</v>
      </c>
      <c r="H69" s="6">
        <v>0</v>
      </c>
      <c r="I69" s="6">
        <v>0</v>
      </c>
      <c r="J69" s="13">
        <f>27239.53-2404.6-109.82</f>
        <v>24725.11</v>
      </c>
    </row>
    <row r="70" spans="1:10" ht="30">
      <c r="A70" s="12" t="s">
        <v>130</v>
      </c>
      <c r="B70" s="11" t="s">
        <v>131</v>
      </c>
      <c r="C70" s="6">
        <f t="shared" si="1"/>
        <v>49400.84</v>
      </c>
      <c r="D70" s="6">
        <v>0</v>
      </c>
      <c r="E70" s="6">
        <v>0</v>
      </c>
      <c r="F70" s="6">
        <v>0</v>
      </c>
      <c r="G70" s="6">
        <v>0</v>
      </c>
      <c r="H70" s="6">
        <v>0</v>
      </c>
      <c r="I70" s="6">
        <v>0</v>
      </c>
      <c r="J70" s="13">
        <v>49400.84</v>
      </c>
    </row>
    <row r="71" spans="1:10" ht="30">
      <c r="A71" s="12" t="s">
        <v>132</v>
      </c>
      <c r="B71" s="11" t="s">
        <v>133</v>
      </c>
      <c r="C71" s="6">
        <f aca="true" t="shared" si="21" ref="C71:C134">J71-I71-H71-G71-F71-E71-D71</f>
        <v>4649.59</v>
      </c>
      <c r="D71" s="6">
        <v>0</v>
      </c>
      <c r="E71" s="6">
        <v>0</v>
      </c>
      <c r="F71" s="6">
        <v>0</v>
      </c>
      <c r="G71" s="6">
        <v>0</v>
      </c>
      <c r="H71" s="6">
        <v>0</v>
      </c>
      <c r="I71" s="6">
        <v>0</v>
      </c>
      <c r="J71" s="13">
        <f>4000.37+649.22</f>
        <v>4649.59</v>
      </c>
    </row>
    <row r="72" spans="1:11" ht="30">
      <c r="A72" s="12" t="s">
        <v>134</v>
      </c>
      <c r="B72" s="11" t="s">
        <v>135</v>
      </c>
      <c r="C72" s="6">
        <f t="shared" si="21"/>
        <v>83396.33</v>
      </c>
      <c r="D72" s="6">
        <v>0</v>
      </c>
      <c r="E72" s="6">
        <v>0</v>
      </c>
      <c r="F72" s="6">
        <v>0</v>
      </c>
      <c r="G72" s="6">
        <v>0</v>
      </c>
      <c r="H72" s="6">
        <v>0</v>
      </c>
      <c r="I72" s="6">
        <v>0</v>
      </c>
      <c r="J72" s="13">
        <v>83396.33</v>
      </c>
      <c r="K72" s="14" t="s">
        <v>3</v>
      </c>
    </row>
    <row r="73" spans="1:10" ht="30">
      <c r="A73" s="12" t="s">
        <v>136</v>
      </c>
      <c r="B73" s="11" t="s">
        <v>137</v>
      </c>
      <c r="C73" s="6">
        <f t="shared" si="21"/>
        <v>62802.29</v>
      </c>
      <c r="D73" s="6">
        <v>0</v>
      </c>
      <c r="E73" s="6">
        <v>0</v>
      </c>
      <c r="F73" s="6">
        <v>0</v>
      </c>
      <c r="G73" s="40">
        <v>-3422.5</v>
      </c>
      <c r="H73" s="6">
        <v>0</v>
      </c>
      <c r="I73" s="6">
        <v>0</v>
      </c>
      <c r="J73" s="13">
        <f>59630.46+3171.83-3422.5</f>
        <v>59379.79</v>
      </c>
    </row>
    <row r="74" spans="1:10" ht="60">
      <c r="A74" s="12" t="s">
        <v>271</v>
      </c>
      <c r="B74" s="11" t="s">
        <v>272</v>
      </c>
      <c r="C74" s="6">
        <f t="shared" si="21"/>
        <v>51537.88</v>
      </c>
      <c r="D74" s="6">
        <v>0</v>
      </c>
      <c r="E74" s="31">
        <v>-51537.88</v>
      </c>
      <c r="F74" s="6">
        <v>0</v>
      </c>
      <c r="G74" s="6">
        <v>0</v>
      </c>
      <c r="H74" s="6">
        <v>0</v>
      </c>
      <c r="I74" s="6">
        <v>0</v>
      </c>
      <c r="J74" s="13">
        <v>0</v>
      </c>
    </row>
    <row r="75" spans="1:10" ht="90">
      <c r="A75" s="12" t="s">
        <v>138</v>
      </c>
      <c r="B75" s="11" t="s">
        <v>139</v>
      </c>
      <c r="C75" s="6">
        <f t="shared" si="21"/>
        <v>0</v>
      </c>
      <c r="D75" s="13">
        <v>3441.56</v>
      </c>
      <c r="E75" s="13">
        <v>8989.65</v>
      </c>
      <c r="F75" s="6">
        <v>0</v>
      </c>
      <c r="G75" s="40">
        <v>-3441.56</v>
      </c>
      <c r="H75" s="6">
        <v>0</v>
      </c>
      <c r="I75" s="6">
        <v>0</v>
      </c>
      <c r="J75" s="13">
        <f>3622.69-181.13+8989.65-3441.56</f>
        <v>8989.65</v>
      </c>
    </row>
    <row r="76" spans="1:10" ht="45">
      <c r="A76" s="12" t="s">
        <v>140</v>
      </c>
      <c r="B76" s="11" t="s">
        <v>141</v>
      </c>
      <c r="C76" s="6">
        <f t="shared" si="21"/>
        <v>84931.46</v>
      </c>
      <c r="D76" s="6">
        <v>0</v>
      </c>
      <c r="E76" s="6">
        <v>0</v>
      </c>
      <c r="F76" s="6">
        <v>0</v>
      </c>
      <c r="G76" s="40">
        <v>-13061.01</v>
      </c>
      <c r="H76" s="6">
        <v>0</v>
      </c>
      <c r="I76" s="6">
        <v>0</v>
      </c>
      <c r="J76" s="13">
        <f>84931.46-13061.01</f>
        <v>71870.45000000001</v>
      </c>
    </row>
    <row r="77" spans="1:10" ht="45">
      <c r="A77" s="12" t="s">
        <v>142</v>
      </c>
      <c r="B77" s="11" t="s">
        <v>143</v>
      </c>
      <c r="C77" s="6">
        <f t="shared" si="21"/>
        <v>100</v>
      </c>
      <c r="D77" s="6">
        <v>0</v>
      </c>
      <c r="E77" s="6">
        <v>0</v>
      </c>
      <c r="F77" s="6">
        <v>0</v>
      </c>
      <c r="G77" s="6">
        <v>0</v>
      </c>
      <c r="H77" s="6">
        <v>0</v>
      </c>
      <c r="I77" s="6">
        <v>0</v>
      </c>
      <c r="J77" s="13">
        <v>100</v>
      </c>
    </row>
    <row r="78" spans="1:10" ht="90">
      <c r="A78" s="12" t="s">
        <v>144</v>
      </c>
      <c r="B78" s="11" t="s">
        <v>145</v>
      </c>
      <c r="C78" s="6">
        <f t="shared" si="21"/>
        <v>14249.08</v>
      </c>
      <c r="D78" s="6">
        <v>0</v>
      </c>
      <c r="E78" s="6">
        <v>0</v>
      </c>
      <c r="F78" s="6">
        <v>0</v>
      </c>
      <c r="G78" s="23">
        <v>1334.07</v>
      </c>
      <c r="H78" s="6">
        <v>0</v>
      </c>
      <c r="I78" s="6">
        <v>0</v>
      </c>
      <c r="J78" s="13">
        <f>14249.08+1334.07</f>
        <v>15583.15</v>
      </c>
    </row>
    <row r="79" spans="1:10" ht="30">
      <c r="A79" s="12" t="s">
        <v>146</v>
      </c>
      <c r="B79" s="11" t="s">
        <v>147</v>
      </c>
      <c r="C79" s="6">
        <f t="shared" si="21"/>
        <v>7378.15</v>
      </c>
      <c r="D79" s="6">
        <v>0</v>
      </c>
      <c r="E79" s="13">
        <v>2000</v>
      </c>
      <c r="F79" s="6">
        <v>0</v>
      </c>
      <c r="G79" s="6">
        <v>0</v>
      </c>
      <c r="H79" s="6">
        <v>0</v>
      </c>
      <c r="I79" s="6">
        <v>0</v>
      </c>
      <c r="J79" s="13">
        <f>7378.15+2000</f>
        <v>9378.15</v>
      </c>
    </row>
    <row r="80" spans="1:10" ht="60">
      <c r="A80" s="12" t="s">
        <v>148</v>
      </c>
      <c r="B80" s="11" t="s">
        <v>149</v>
      </c>
      <c r="C80" s="6">
        <f t="shared" si="21"/>
        <v>0</v>
      </c>
      <c r="D80" s="6">
        <v>0</v>
      </c>
      <c r="E80" s="6">
        <v>0</v>
      </c>
      <c r="F80" s="23">
        <v>2346.5</v>
      </c>
      <c r="G80" s="6">
        <v>0</v>
      </c>
      <c r="H80" s="6">
        <v>0</v>
      </c>
      <c r="I80" s="6">
        <v>0</v>
      </c>
      <c r="J80" s="13">
        <v>2346.5</v>
      </c>
    </row>
    <row r="81" spans="1:10" ht="45">
      <c r="A81" s="12" t="s">
        <v>150</v>
      </c>
      <c r="B81" s="11" t="s">
        <v>151</v>
      </c>
      <c r="C81" s="6">
        <f t="shared" si="21"/>
        <v>0</v>
      </c>
      <c r="D81" s="6">
        <v>0</v>
      </c>
      <c r="E81" s="6">
        <v>0</v>
      </c>
      <c r="F81" s="23">
        <v>10012.54</v>
      </c>
      <c r="G81" s="23">
        <v>6842.61</v>
      </c>
      <c r="H81" s="6">
        <v>0</v>
      </c>
      <c r="I81" s="6">
        <v>0</v>
      </c>
      <c r="J81" s="13">
        <f>10012.54+6842.61</f>
        <v>16855.15</v>
      </c>
    </row>
    <row r="82" spans="1:10" ht="60">
      <c r="A82" s="12" t="s">
        <v>152</v>
      </c>
      <c r="B82" s="11" t="s">
        <v>153</v>
      </c>
      <c r="C82" s="6">
        <f t="shared" si="21"/>
        <v>0</v>
      </c>
      <c r="D82" s="6">
        <v>0</v>
      </c>
      <c r="E82" s="6">
        <v>0</v>
      </c>
      <c r="F82" s="6">
        <v>0</v>
      </c>
      <c r="G82" s="6">
        <v>0</v>
      </c>
      <c r="H82" s="6">
        <v>0</v>
      </c>
      <c r="I82" s="13">
        <v>1087.78</v>
      </c>
      <c r="J82" s="13">
        <v>1087.78</v>
      </c>
    </row>
    <row r="83" spans="1:10" s="38" customFormat="1" ht="28.5">
      <c r="A83" s="8" t="s">
        <v>154</v>
      </c>
      <c r="B83" s="3" t="s">
        <v>155</v>
      </c>
      <c r="C83" s="4">
        <f t="shared" si="21"/>
        <v>1894729.1500000001</v>
      </c>
      <c r="D83" s="4">
        <f>SUM(D84:D117)</f>
        <v>0</v>
      </c>
      <c r="E83" s="4">
        <f>SUM(E84:E117)</f>
        <v>163.06</v>
      </c>
      <c r="F83" s="4">
        <f>SUM(F84:F117)</f>
        <v>30.17</v>
      </c>
      <c r="G83" s="4">
        <f aca="true" t="shared" si="22" ref="G83:J83">SUM(G84:G117)</f>
        <v>23997.55</v>
      </c>
      <c r="H83" s="4">
        <f t="shared" si="22"/>
        <v>0</v>
      </c>
      <c r="I83" s="4">
        <f t="shared" si="22"/>
        <v>80118.81000000001</v>
      </c>
      <c r="J83" s="4">
        <f t="shared" si="22"/>
        <v>1999038.7400000002</v>
      </c>
    </row>
    <row r="84" spans="1:10" ht="60">
      <c r="A84" s="12" t="s">
        <v>156</v>
      </c>
      <c r="B84" s="11" t="s">
        <v>157</v>
      </c>
      <c r="C84" s="6">
        <f t="shared" si="21"/>
        <v>589.92</v>
      </c>
      <c r="D84" s="6">
        <v>0</v>
      </c>
      <c r="E84" s="6">
        <v>0</v>
      </c>
      <c r="F84" s="6">
        <v>0</v>
      </c>
      <c r="G84" s="23">
        <v>25.21</v>
      </c>
      <c r="H84" s="6">
        <v>0</v>
      </c>
      <c r="I84" s="6">
        <v>0</v>
      </c>
      <c r="J84" s="23">
        <f>589.92+25.21</f>
        <v>615.13</v>
      </c>
    </row>
    <row r="85" spans="1:10" ht="60">
      <c r="A85" s="12" t="s">
        <v>158</v>
      </c>
      <c r="B85" s="11" t="s">
        <v>159</v>
      </c>
      <c r="C85" s="6">
        <f t="shared" si="21"/>
        <v>3689.81</v>
      </c>
      <c r="D85" s="6">
        <v>0</v>
      </c>
      <c r="E85" s="6">
        <v>0</v>
      </c>
      <c r="F85" s="6">
        <v>0</v>
      </c>
      <c r="G85" s="23">
        <v>157.68</v>
      </c>
      <c r="H85" s="6">
        <v>0</v>
      </c>
      <c r="I85" s="6">
        <v>0</v>
      </c>
      <c r="J85" s="23">
        <f>3689.81+157.68</f>
        <v>3847.49</v>
      </c>
    </row>
    <row r="86" spans="1:10" ht="75">
      <c r="A86" s="12" t="s">
        <v>160</v>
      </c>
      <c r="B86" s="11" t="s">
        <v>161</v>
      </c>
      <c r="C86" s="6">
        <f t="shared" si="21"/>
        <v>78.62</v>
      </c>
      <c r="D86" s="6">
        <v>0</v>
      </c>
      <c r="E86" s="6">
        <v>0</v>
      </c>
      <c r="F86" s="6">
        <v>0</v>
      </c>
      <c r="G86" s="6">
        <v>0</v>
      </c>
      <c r="H86" s="6">
        <v>0</v>
      </c>
      <c r="I86" s="6">
        <v>0</v>
      </c>
      <c r="J86" s="23">
        <v>78.62</v>
      </c>
    </row>
    <row r="87" spans="1:10" ht="60">
      <c r="A87" s="12" t="s">
        <v>162</v>
      </c>
      <c r="B87" s="11" t="s">
        <v>163</v>
      </c>
      <c r="C87" s="6">
        <f t="shared" si="21"/>
        <v>2447.91</v>
      </c>
      <c r="D87" s="6">
        <v>0</v>
      </c>
      <c r="E87" s="6">
        <v>0</v>
      </c>
      <c r="F87" s="6">
        <v>0</v>
      </c>
      <c r="G87" s="23">
        <v>94.65</v>
      </c>
      <c r="H87" s="6">
        <v>0</v>
      </c>
      <c r="I87" s="6">
        <v>0</v>
      </c>
      <c r="J87" s="23">
        <f>2447.91+94.65</f>
        <v>2542.56</v>
      </c>
    </row>
    <row r="88" spans="1:10" ht="75">
      <c r="A88" s="12" t="s">
        <v>164</v>
      </c>
      <c r="B88" s="11" t="s">
        <v>165</v>
      </c>
      <c r="C88" s="6">
        <f t="shared" si="21"/>
        <v>2192.6</v>
      </c>
      <c r="D88" s="6">
        <v>0</v>
      </c>
      <c r="E88" s="6">
        <v>0</v>
      </c>
      <c r="F88" s="6">
        <v>0</v>
      </c>
      <c r="G88" s="23">
        <v>200</v>
      </c>
      <c r="H88" s="6">
        <v>0</v>
      </c>
      <c r="I88" s="13">
        <v>170</v>
      </c>
      <c r="J88" s="23">
        <f>2192.6+200+170</f>
        <v>2562.6</v>
      </c>
    </row>
    <row r="89" spans="1:10" ht="60">
      <c r="A89" s="12" t="s">
        <v>166</v>
      </c>
      <c r="B89" s="11" t="s">
        <v>167</v>
      </c>
      <c r="C89" s="6">
        <f t="shared" si="21"/>
        <v>63026.13</v>
      </c>
      <c r="D89" s="6">
        <v>0</v>
      </c>
      <c r="E89" s="6">
        <v>0</v>
      </c>
      <c r="F89" s="6">
        <v>0</v>
      </c>
      <c r="G89" s="6">
        <v>0</v>
      </c>
      <c r="H89" s="6">
        <v>0</v>
      </c>
      <c r="I89" s="13">
        <v>184.37</v>
      </c>
      <c r="J89" s="23">
        <f>63026.13+184.37</f>
        <v>63210.5</v>
      </c>
    </row>
    <row r="90" spans="1:10" ht="45">
      <c r="A90" s="12" t="s">
        <v>168</v>
      </c>
      <c r="B90" s="11" t="s">
        <v>169</v>
      </c>
      <c r="C90" s="6">
        <f t="shared" si="21"/>
        <v>97.05000000000001</v>
      </c>
      <c r="D90" s="6">
        <v>0</v>
      </c>
      <c r="E90" s="6">
        <v>0</v>
      </c>
      <c r="F90" s="6">
        <v>0</v>
      </c>
      <c r="G90" s="23">
        <v>13.57</v>
      </c>
      <c r="H90" s="6">
        <v>0</v>
      </c>
      <c r="I90" s="6">
        <v>0</v>
      </c>
      <c r="J90" s="23">
        <f>97.05+13.57</f>
        <v>110.62</v>
      </c>
    </row>
    <row r="91" spans="1:10" ht="75">
      <c r="A91" s="12" t="s">
        <v>170</v>
      </c>
      <c r="B91" s="11" t="s">
        <v>171</v>
      </c>
      <c r="C91" s="6">
        <f t="shared" si="21"/>
        <v>1648.65</v>
      </c>
      <c r="D91" s="6">
        <v>0</v>
      </c>
      <c r="E91" s="6">
        <v>0</v>
      </c>
      <c r="F91" s="6">
        <v>0</v>
      </c>
      <c r="G91" s="23">
        <v>66.06</v>
      </c>
      <c r="H91" s="6">
        <v>0</v>
      </c>
      <c r="I91" s="6">
        <v>0</v>
      </c>
      <c r="J91" s="23">
        <f>1648.65+66.06</f>
        <v>1714.71</v>
      </c>
    </row>
    <row r="92" spans="1:10" ht="60">
      <c r="A92" s="12" t="s">
        <v>172</v>
      </c>
      <c r="B92" s="11" t="s">
        <v>173</v>
      </c>
      <c r="C92" s="6">
        <f t="shared" si="21"/>
        <v>66.69</v>
      </c>
      <c r="D92" s="6">
        <v>0</v>
      </c>
      <c r="E92" s="6">
        <v>0</v>
      </c>
      <c r="F92" s="6">
        <v>0</v>
      </c>
      <c r="G92" s="6">
        <v>0</v>
      </c>
      <c r="H92" s="6">
        <v>0</v>
      </c>
      <c r="I92" s="6">
        <v>0</v>
      </c>
      <c r="J92" s="23">
        <v>66.69</v>
      </c>
    </row>
    <row r="93" spans="1:10" ht="45">
      <c r="A93" s="12" t="s">
        <v>174</v>
      </c>
      <c r="B93" s="11" t="s">
        <v>175</v>
      </c>
      <c r="C93" s="6">
        <f t="shared" si="21"/>
        <v>76161.52</v>
      </c>
      <c r="D93" s="6">
        <v>0</v>
      </c>
      <c r="E93" s="6">
        <v>0</v>
      </c>
      <c r="F93" s="6">
        <v>0</v>
      </c>
      <c r="G93" s="40">
        <v>-2435</v>
      </c>
      <c r="H93" s="6">
        <v>0</v>
      </c>
      <c r="I93" s="6">
        <v>0</v>
      </c>
      <c r="J93" s="23">
        <f>76161.52-2435</f>
        <v>73726.52</v>
      </c>
    </row>
    <row r="94" spans="1:10" ht="105">
      <c r="A94" s="12" t="s">
        <v>176</v>
      </c>
      <c r="B94" s="11" t="s">
        <v>177</v>
      </c>
      <c r="C94" s="6">
        <f t="shared" si="21"/>
        <v>33262.5</v>
      </c>
      <c r="D94" s="6">
        <v>0</v>
      </c>
      <c r="E94" s="6">
        <v>0</v>
      </c>
      <c r="F94" s="6">
        <v>0</v>
      </c>
      <c r="G94" s="6">
        <v>0</v>
      </c>
      <c r="H94" s="6">
        <v>0</v>
      </c>
      <c r="I94" s="6">
        <v>0</v>
      </c>
      <c r="J94" s="23">
        <v>33262.5</v>
      </c>
    </row>
    <row r="95" spans="1:10" ht="75">
      <c r="A95" s="12" t="s">
        <v>178</v>
      </c>
      <c r="B95" s="11" t="s">
        <v>179</v>
      </c>
      <c r="C95" s="6">
        <f t="shared" si="21"/>
        <v>27284.07</v>
      </c>
      <c r="D95" s="6">
        <v>0</v>
      </c>
      <c r="E95" s="13">
        <v>29.86</v>
      </c>
      <c r="F95" s="6">
        <v>0</v>
      </c>
      <c r="G95" s="23">
        <v>1335.6</v>
      </c>
      <c r="H95" s="6">
        <v>0</v>
      </c>
      <c r="I95" s="6">
        <v>0</v>
      </c>
      <c r="J95" s="23">
        <f>27284.07+29.86+1335.6</f>
        <v>28649.53</v>
      </c>
    </row>
    <row r="96" spans="1:10" ht="60">
      <c r="A96" s="12" t="s">
        <v>180</v>
      </c>
      <c r="B96" s="11" t="s">
        <v>181</v>
      </c>
      <c r="C96" s="6">
        <f t="shared" si="21"/>
        <v>3</v>
      </c>
      <c r="D96" s="6">
        <v>0</v>
      </c>
      <c r="E96" s="6">
        <v>0</v>
      </c>
      <c r="F96" s="6">
        <v>0</v>
      </c>
      <c r="G96" s="6">
        <v>0</v>
      </c>
      <c r="H96" s="6">
        <v>0</v>
      </c>
      <c r="I96" s="6">
        <v>0</v>
      </c>
      <c r="J96" s="23">
        <v>3</v>
      </c>
    </row>
    <row r="97" spans="1:10" ht="120">
      <c r="A97" s="12" t="s">
        <v>182</v>
      </c>
      <c r="B97" s="11" t="s">
        <v>183</v>
      </c>
      <c r="C97" s="6">
        <f t="shared" si="21"/>
        <v>181198.64</v>
      </c>
      <c r="D97" s="6">
        <v>0</v>
      </c>
      <c r="E97" s="6">
        <v>0</v>
      </c>
      <c r="F97" s="6">
        <v>0</v>
      </c>
      <c r="G97" s="13">
        <v>10523.8</v>
      </c>
      <c r="H97" s="6">
        <v>0</v>
      </c>
      <c r="I97" s="6">
        <v>0</v>
      </c>
      <c r="J97" s="23">
        <f>181198.64+7449.69+3074.11</f>
        <v>191722.44</v>
      </c>
    </row>
    <row r="98" spans="1:10" ht="165">
      <c r="A98" s="12" t="s">
        <v>184</v>
      </c>
      <c r="B98" s="11" t="s">
        <v>185</v>
      </c>
      <c r="C98" s="6">
        <f t="shared" si="21"/>
        <v>457382.45</v>
      </c>
      <c r="D98" s="6">
        <v>0</v>
      </c>
      <c r="E98" s="6">
        <v>0</v>
      </c>
      <c r="F98" s="6">
        <v>0</v>
      </c>
      <c r="G98" s="23">
        <f>11923.56+13426.36</f>
        <v>25349.92</v>
      </c>
      <c r="H98" s="6">
        <v>0</v>
      </c>
      <c r="I98" s="6">
        <v>0</v>
      </c>
      <c r="J98" s="23">
        <f>457382.45+11923.56+13426.36</f>
        <v>482732.37</v>
      </c>
    </row>
    <row r="99" spans="1:10" ht="60">
      <c r="A99" s="12" t="s">
        <v>186</v>
      </c>
      <c r="B99" s="11" t="s">
        <v>187</v>
      </c>
      <c r="C99" s="6">
        <f t="shared" si="21"/>
        <v>1276.63</v>
      </c>
      <c r="D99" s="6">
        <v>0</v>
      </c>
      <c r="E99" s="6">
        <v>0</v>
      </c>
      <c r="F99" s="6">
        <v>0</v>
      </c>
      <c r="G99" s="6">
        <v>0</v>
      </c>
      <c r="H99" s="6">
        <v>0</v>
      </c>
      <c r="I99" s="6">
        <v>0</v>
      </c>
      <c r="J99" s="23">
        <v>1276.63</v>
      </c>
    </row>
    <row r="100" spans="1:10" ht="105">
      <c r="A100" s="12" t="s">
        <v>188</v>
      </c>
      <c r="B100" s="11" t="s">
        <v>189</v>
      </c>
      <c r="C100" s="6">
        <f t="shared" si="21"/>
        <v>16446.25</v>
      </c>
      <c r="D100" s="6">
        <v>0</v>
      </c>
      <c r="E100" s="6">
        <v>0</v>
      </c>
      <c r="F100" s="6">
        <v>0</v>
      </c>
      <c r="G100" s="23">
        <v>2510.15</v>
      </c>
      <c r="H100" s="6">
        <v>0</v>
      </c>
      <c r="I100" s="13">
        <v>5.25</v>
      </c>
      <c r="J100" s="23">
        <f>16446.25+2510.15+5.25</f>
        <v>18961.65</v>
      </c>
    </row>
    <row r="101" spans="1:10" ht="75">
      <c r="A101" s="11" t="s">
        <v>190</v>
      </c>
      <c r="B101" s="11" t="s">
        <v>191</v>
      </c>
      <c r="C101" s="6">
        <f t="shared" si="21"/>
        <v>229.11</v>
      </c>
      <c r="D101" s="6">
        <v>0</v>
      </c>
      <c r="E101" s="6">
        <v>0</v>
      </c>
      <c r="F101" s="6">
        <v>0</v>
      </c>
      <c r="G101" s="6">
        <v>0</v>
      </c>
      <c r="H101" s="6">
        <v>0</v>
      </c>
      <c r="I101" s="6">
        <v>0</v>
      </c>
      <c r="J101" s="23">
        <v>229.11</v>
      </c>
    </row>
    <row r="102" spans="1:10" ht="90">
      <c r="A102" s="12" t="s">
        <v>192</v>
      </c>
      <c r="B102" s="11" t="s">
        <v>193</v>
      </c>
      <c r="C102" s="6">
        <f t="shared" si="21"/>
        <v>31656.33</v>
      </c>
      <c r="D102" s="6">
        <v>0</v>
      </c>
      <c r="E102" s="13">
        <v>133.2</v>
      </c>
      <c r="F102" s="6">
        <v>0</v>
      </c>
      <c r="G102" s="23">
        <v>98</v>
      </c>
      <c r="H102" s="6">
        <v>0</v>
      </c>
      <c r="I102" s="6">
        <v>0</v>
      </c>
      <c r="J102" s="23">
        <f>31656.33+133.2+98</f>
        <v>31887.530000000002</v>
      </c>
    </row>
    <row r="103" spans="1:10" ht="45">
      <c r="A103" s="12" t="s">
        <v>194</v>
      </c>
      <c r="B103" s="11" t="s">
        <v>195</v>
      </c>
      <c r="C103" s="6">
        <f t="shared" si="21"/>
        <v>7127.01</v>
      </c>
      <c r="D103" s="6">
        <v>0</v>
      </c>
      <c r="E103" s="6">
        <v>0</v>
      </c>
      <c r="F103" s="6">
        <v>0</v>
      </c>
      <c r="G103" s="23">
        <v>1469.27</v>
      </c>
      <c r="H103" s="6">
        <v>0</v>
      </c>
      <c r="I103" s="6">
        <v>0</v>
      </c>
      <c r="J103" s="23">
        <f>7127.01+1469.27</f>
        <v>8596.28</v>
      </c>
    </row>
    <row r="104" spans="1:10" ht="45">
      <c r="A104" s="12" t="s">
        <v>196</v>
      </c>
      <c r="B104" s="11" t="s">
        <v>197</v>
      </c>
      <c r="C104" s="6">
        <f t="shared" si="21"/>
        <v>954.08</v>
      </c>
      <c r="D104" s="6">
        <v>0</v>
      </c>
      <c r="E104" s="6">
        <v>0</v>
      </c>
      <c r="F104" s="6">
        <v>0</v>
      </c>
      <c r="G104" s="6">
        <v>0</v>
      </c>
      <c r="H104" s="6">
        <v>0</v>
      </c>
      <c r="I104" s="6">
        <v>0</v>
      </c>
      <c r="J104" s="23">
        <v>954.08</v>
      </c>
    </row>
    <row r="105" spans="1:10" ht="75">
      <c r="A105" s="12" t="s">
        <v>198</v>
      </c>
      <c r="B105" s="11" t="s">
        <v>199</v>
      </c>
      <c r="C105" s="6">
        <f t="shared" si="21"/>
        <v>15151.58</v>
      </c>
      <c r="D105" s="6">
        <v>0</v>
      </c>
      <c r="E105" s="6">
        <v>0</v>
      </c>
      <c r="F105" s="6">
        <v>0</v>
      </c>
      <c r="G105" s="6">
        <v>0</v>
      </c>
      <c r="H105" s="6">
        <v>0</v>
      </c>
      <c r="I105" s="6">
        <v>0</v>
      </c>
      <c r="J105" s="23">
        <v>15151.58</v>
      </c>
    </row>
    <row r="106" spans="1:10" ht="60">
      <c r="A106" s="12" t="s">
        <v>200</v>
      </c>
      <c r="B106" s="11" t="s">
        <v>201</v>
      </c>
      <c r="C106" s="6">
        <f t="shared" si="21"/>
        <v>96969.89000000001</v>
      </c>
      <c r="D106" s="6">
        <v>0</v>
      </c>
      <c r="E106" s="6">
        <v>0</v>
      </c>
      <c r="F106" s="6">
        <v>0</v>
      </c>
      <c r="G106" s="23">
        <f>2.03+2615</f>
        <v>2617.03</v>
      </c>
      <c r="H106" s="6">
        <v>0</v>
      </c>
      <c r="I106" s="13">
        <v>37718.15</v>
      </c>
      <c r="J106" s="23">
        <f>96969.89+2.03+2615+37718.15</f>
        <v>137305.07</v>
      </c>
    </row>
    <row r="107" spans="1:10" ht="45">
      <c r="A107" s="12" t="s">
        <v>202</v>
      </c>
      <c r="B107" s="11" t="s">
        <v>203</v>
      </c>
      <c r="C107" s="6">
        <f t="shared" si="21"/>
        <v>4700.02</v>
      </c>
      <c r="D107" s="6">
        <v>0</v>
      </c>
      <c r="E107" s="6">
        <v>0</v>
      </c>
      <c r="F107" s="6">
        <v>0</v>
      </c>
      <c r="G107" s="6">
        <v>0</v>
      </c>
      <c r="H107" s="6">
        <v>0</v>
      </c>
      <c r="I107" s="13">
        <v>262.16</v>
      </c>
      <c r="J107" s="23">
        <f>4700.02+262.16</f>
        <v>4962.18</v>
      </c>
    </row>
    <row r="108" spans="1:10" ht="60">
      <c r="A108" s="12" t="s">
        <v>204</v>
      </c>
      <c r="B108" s="11" t="s">
        <v>205</v>
      </c>
      <c r="C108" s="6">
        <f t="shared" si="21"/>
        <v>119.06</v>
      </c>
      <c r="D108" s="6">
        <v>0</v>
      </c>
      <c r="E108" s="6">
        <v>0</v>
      </c>
      <c r="F108" s="6">
        <v>0</v>
      </c>
      <c r="G108" s="6">
        <v>0</v>
      </c>
      <c r="H108" s="6">
        <v>0</v>
      </c>
      <c r="I108" s="6">
        <v>0</v>
      </c>
      <c r="J108" s="23">
        <v>119.06</v>
      </c>
    </row>
    <row r="109" spans="1:10" ht="60">
      <c r="A109" s="12" t="s">
        <v>206</v>
      </c>
      <c r="B109" s="11" t="s">
        <v>207</v>
      </c>
      <c r="C109" s="6">
        <f t="shared" si="21"/>
        <v>3171.85</v>
      </c>
      <c r="D109" s="6">
        <v>0</v>
      </c>
      <c r="E109" s="6">
        <v>0</v>
      </c>
      <c r="F109" s="6">
        <v>0</v>
      </c>
      <c r="G109" s="6">
        <v>0</v>
      </c>
      <c r="H109" s="6">
        <v>0</v>
      </c>
      <c r="I109" s="13">
        <v>1.77</v>
      </c>
      <c r="J109" s="23">
        <f>3171.85+1.77</f>
        <v>3173.62</v>
      </c>
    </row>
    <row r="110" spans="1:10" ht="30">
      <c r="A110" s="12" t="s">
        <v>208</v>
      </c>
      <c r="B110" s="11" t="s">
        <v>209</v>
      </c>
      <c r="C110" s="6">
        <f t="shared" si="21"/>
        <v>59302.07</v>
      </c>
      <c r="D110" s="6">
        <v>0</v>
      </c>
      <c r="E110" s="6">
        <v>0</v>
      </c>
      <c r="F110" s="6">
        <v>0</v>
      </c>
      <c r="G110" s="6">
        <v>0</v>
      </c>
      <c r="H110" s="6">
        <v>0</v>
      </c>
      <c r="I110" s="6">
        <v>0</v>
      </c>
      <c r="J110" s="23">
        <v>59302.07</v>
      </c>
    </row>
    <row r="111" spans="1:10" ht="45">
      <c r="A111" s="12" t="s">
        <v>210</v>
      </c>
      <c r="B111" s="11" t="s">
        <v>211</v>
      </c>
      <c r="C111" s="6">
        <f t="shared" si="21"/>
        <v>429191.41</v>
      </c>
      <c r="D111" s="6">
        <v>0</v>
      </c>
      <c r="E111" s="6">
        <v>0</v>
      </c>
      <c r="F111" s="6">
        <v>0</v>
      </c>
      <c r="G111" s="40">
        <f>11.11-24000</f>
        <v>-23988.89</v>
      </c>
      <c r="H111" s="6">
        <v>0</v>
      </c>
      <c r="I111" s="13">
        <v>30233.59</v>
      </c>
      <c r="J111" s="23">
        <f>429191.41+11.11-24000+30233.59</f>
        <v>435436.11</v>
      </c>
    </row>
    <row r="112" spans="1:10" ht="60">
      <c r="A112" s="12" t="s">
        <v>212</v>
      </c>
      <c r="B112" s="11" t="s">
        <v>213</v>
      </c>
      <c r="C112" s="6">
        <f t="shared" si="21"/>
        <v>37354.38</v>
      </c>
      <c r="D112" s="6">
        <v>0</v>
      </c>
      <c r="E112" s="6">
        <v>0</v>
      </c>
      <c r="F112" s="6">
        <v>0</v>
      </c>
      <c r="G112" s="23">
        <v>10376.94</v>
      </c>
      <c r="H112" s="6">
        <v>0</v>
      </c>
      <c r="I112" s="6">
        <v>0</v>
      </c>
      <c r="J112" s="23">
        <f>37354.38+10376.94</f>
        <v>47731.32</v>
      </c>
    </row>
    <row r="113" spans="1:10" ht="45">
      <c r="A113" s="12" t="s">
        <v>214</v>
      </c>
      <c r="B113" s="11" t="s">
        <v>215</v>
      </c>
      <c r="C113" s="6">
        <f t="shared" si="21"/>
        <v>22329.68</v>
      </c>
      <c r="D113" s="6">
        <v>0</v>
      </c>
      <c r="E113" s="6">
        <v>0</v>
      </c>
      <c r="F113" s="6">
        <v>0</v>
      </c>
      <c r="G113" s="23">
        <v>4750.01</v>
      </c>
      <c r="H113" s="6">
        <v>0</v>
      </c>
      <c r="I113" s="13">
        <v>10588.36</v>
      </c>
      <c r="J113" s="23">
        <f>22329.68+4750.01+10588.36</f>
        <v>37668.05</v>
      </c>
    </row>
    <row r="114" spans="1:10" ht="45">
      <c r="A114" s="12" t="s">
        <v>216</v>
      </c>
      <c r="B114" s="11" t="s">
        <v>217</v>
      </c>
      <c r="C114" s="6">
        <f t="shared" si="21"/>
        <v>487.93</v>
      </c>
      <c r="D114" s="6">
        <v>0</v>
      </c>
      <c r="E114" s="6">
        <v>0</v>
      </c>
      <c r="F114" s="13">
        <v>30.17</v>
      </c>
      <c r="G114" s="6">
        <v>0</v>
      </c>
      <c r="H114" s="6">
        <v>0</v>
      </c>
      <c r="I114" s="6">
        <v>0</v>
      </c>
      <c r="J114" s="23">
        <f>487.93+30.17</f>
        <v>518.1</v>
      </c>
    </row>
    <row r="115" spans="1:10" ht="45">
      <c r="A115" s="12" t="s">
        <v>218</v>
      </c>
      <c r="B115" s="11" t="s">
        <v>219</v>
      </c>
      <c r="C115" s="6">
        <f t="shared" si="21"/>
        <v>126378.85</v>
      </c>
      <c r="D115" s="6">
        <v>0</v>
      </c>
      <c r="E115" s="6">
        <v>0</v>
      </c>
      <c r="F115" s="6">
        <v>0</v>
      </c>
      <c r="G115" s="6">
        <v>0</v>
      </c>
      <c r="H115" s="6">
        <v>0</v>
      </c>
      <c r="I115" s="6">
        <v>0</v>
      </c>
      <c r="J115" s="23">
        <v>126378.85</v>
      </c>
    </row>
    <row r="116" spans="1:10" ht="45">
      <c r="A116" s="12" t="s">
        <v>220</v>
      </c>
      <c r="B116" s="11" t="s">
        <v>221</v>
      </c>
      <c r="C116" s="6">
        <f t="shared" si="21"/>
        <v>178684.1</v>
      </c>
      <c r="D116" s="6">
        <v>0</v>
      </c>
      <c r="E116" s="6">
        <v>0</v>
      </c>
      <c r="F116" s="6">
        <v>0</v>
      </c>
      <c r="G116" s="40">
        <v>-9166.45</v>
      </c>
      <c r="H116" s="6">
        <v>0</v>
      </c>
      <c r="I116" s="6">
        <v>0</v>
      </c>
      <c r="J116" s="23">
        <f>178684.1-9166.45</f>
        <v>169517.65</v>
      </c>
    </row>
    <row r="117" spans="1:10" ht="45">
      <c r="A117" s="12" t="s">
        <v>222</v>
      </c>
      <c r="B117" s="11" t="s">
        <v>223</v>
      </c>
      <c r="C117" s="6">
        <f t="shared" si="21"/>
        <v>14069.36</v>
      </c>
      <c r="D117" s="6">
        <v>0</v>
      </c>
      <c r="E117" s="6">
        <v>0</v>
      </c>
      <c r="F117" s="6">
        <v>0</v>
      </c>
      <c r="G117" s="6">
        <v>0</v>
      </c>
      <c r="H117" s="6">
        <v>0</v>
      </c>
      <c r="I117" s="13">
        <v>955.16</v>
      </c>
      <c r="J117" s="23">
        <f>14069.36+955.16</f>
        <v>15024.52</v>
      </c>
    </row>
    <row r="118" spans="1:10" s="38" customFormat="1" ht="14.25">
      <c r="A118" s="3" t="s">
        <v>224</v>
      </c>
      <c r="B118" s="3" t="s">
        <v>225</v>
      </c>
      <c r="C118" s="4">
        <f t="shared" si="21"/>
        <v>1770.3200000000015</v>
      </c>
      <c r="D118" s="4">
        <f>SUM(D119:D126)</f>
        <v>0</v>
      </c>
      <c r="E118" s="4">
        <f>SUM(E119:E126)</f>
        <v>5239.98</v>
      </c>
      <c r="F118" s="4">
        <f>SUM(F119:F126)</f>
        <v>4042.03</v>
      </c>
      <c r="G118" s="4">
        <f aca="true" t="shared" si="23" ref="G118:J118">SUM(G119:G126)</f>
        <v>40564.200000000004</v>
      </c>
      <c r="H118" s="4">
        <f t="shared" si="23"/>
        <v>0</v>
      </c>
      <c r="I118" s="4">
        <f t="shared" si="23"/>
        <v>7636.04</v>
      </c>
      <c r="J118" s="4">
        <f t="shared" si="23"/>
        <v>59252.57000000001</v>
      </c>
    </row>
    <row r="119" spans="1:10" s="38" customFormat="1" ht="195">
      <c r="A119" s="5" t="s">
        <v>226</v>
      </c>
      <c r="B119" s="5" t="s">
        <v>227</v>
      </c>
      <c r="C119" s="6">
        <f t="shared" si="21"/>
        <v>1.8189894035458565E-12</v>
      </c>
      <c r="D119" s="6">
        <v>0</v>
      </c>
      <c r="E119" s="6">
        <v>4512.98</v>
      </c>
      <c r="F119" s="6">
        <v>0</v>
      </c>
      <c r="G119" s="23">
        <v>13559.78</v>
      </c>
      <c r="H119" s="6">
        <v>0</v>
      </c>
      <c r="I119" s="6">
        <v>0</v>
      </c>
      <c r="J119" s="6">
        <f>4512.98+13559.78</f>
        <v>18072.760000000002</v>
      </c>
    </row>
    <row r="120" spans="1:10" s="38" customFormat="1" ht="60">
      <c r="A120" s="5" t="s">
        <v>228</v>
      </c>
      <c r="B120" s="5" t="s">
        <v>229</v>
      </c>
      <c r="C120" s="6">
        <f t="shared" si="21"/>
        <v>1770.3199999999997</v>
      </c>
      <c r="D120" s="6">
        <v>0</v>
      </c>
      <c r="E120" s="6">
        <v>727</v>
      </c>
      <c r="F120" s="6">
        <v>0</v>
      </c>
      <c r="G120" s="40">
        <v>-200</v>
      </c>
      <c r="H120" s="6">
        <v>0</v>
      </c>
      <c r="I120" s="6">
        <v>0</v>
      </c>
      <c r="J120" s="6">
        <f>1770.32+727-200</f>
        <v>2297.3199999999997</v>
      </c>
    </row>
    <row r="121" spans="1:10" s="38" customFormat="1" ht="285">
      <c r="A121" s="5" t="s">
        <v>230</v>
      </c>
      <c r="B121" s="5" t="s">
        <v>231</v>
      </c>
      <c r="C121" s="6">
        <f t="shared" si="21"/>
        <v>0</v>
      </c>
      <c r="D121" s="6">
        <v>0</v>
      </c>
      <c r="E121" s="6">
        <v>0</v>
      </c>
      <c r="F121" s="6">
        <v>0</v>
      </c>
      <c r="G121" s="23">
        <v>18732.02</v>
      </c>
      <c r="H121" s="6">
        <v>0</v>
      </c>
      <c r="I121" s="6">
        <v>0</v>
      </c>
      <c r="J121" s="6">
        <v>18732.02</v>
      </c>
    </row>
    <row r="122" spans="1:10" s="38" customFormat="1" ht="75">
      <c r="A122" s="5" t="s">
        <v>232</v>
      </c>
      <c r="B122" s="5" t="s">
        <v>233</v>
      </c>
      <c r="C122" s="6">
        <f t="shared" si="21"/>
        <v>0</v>
      </c>
      <c r="D122" s="6">
        <v>0</v>
      </c>
      <c r="E122" s="6">
        <v>0</v>
      </c>
      <c r="F122" s="6">
        <v>0</v>
      </c>
      <c r="G122" s="6">
        <v>0</v>
      </c>
      <c r="H122" s="6">
        <v>0</v>
      </c>
      <c r="I122" s="6">
        <v>4141.5</v>
      </c>
      <c r="J122" s="6">
        <v>4141.5</v>
      </c>
    </row>
    <row r="123" spans="1:10" s="38" customFormat="1" ht="45">
      <c r="A123" s="5" t="s">
        <v>234</v>
      </c>
      <c r="B123" s="5" t="s">
        <v>235</v>
      </c>
      <c r="C123" s="6">
        <v>0</v>
      </c>
      <c r="D123" s="6">
        <v>0</v>
      </c>
      <c r="E123" s="6">
        <v>0</v>
      </c>
      <c r="F123" s="6">
        <v>2343.53</v>
      </c>
      <c r="G123" s="6">
        <v>3647.83</v>
      </c>
      <c r="H123" s="6">
        <v>0</v>
      </c>
      <c r="I123" s="6">
        <v>0</v>
      </c>
      <c r="J123" s="6">
        <v>2343.53</v>
      </c>
    </row>
    <row r="124" spans="1:10" s="38" customFormat="1" ht="120">
      <c r="A124" s="5" t="s">
        <v>236</v>
      </c>
      <c r="B124" s="5" t="s">
        <v>237</v>
      </c>
      <c r="C124" s="6">
        <v>0</v>
      </c>
      <c r="D124" s="6">
        <v>0</v>
      </c>
      <c r="E124" s="6">
        <v>0</v>
      </c>
      <c r="F124" s="6">
        <v>0</v>
      </c>
      <c r="G124" s="6">
        <v>4824.57</v>
      </c>
      <c r="H124" s="6">
        <v>0</v>
      </c>
      <c r="I124" s="6">
        <v>0</v>
      </c>
      <c r="J124" s="6">
        <v>3647.83</v>
      </c>
    </row>
    <row r="125" spans="1:10" s="38" customFormat="1" ht="150">
      <c r="A125" s="5" t="s">
        <v>238</v>
      </c>
      <c r="B125" s="5" t="s">
        <v>239</v>
      </c>
      <c r="C125" s="6">
        <v>0</v>
      </c>
      <c r="D125" s="6">
        <v>0</v>
      </c>
      <c r="E125" s="6">
        <v>0</v>
      </c>
      <c r="F125" s="6">
        <v>1698.5</v>
      </c>
      <c r="G125" s="6">
        <v>0</v>
      </c>
      <c r="H125" s="6">
        <v>0</v>
      </c>
      <c r="I125" s="6">
        <v>0</v>
      </c>
      <c r="J125" s="6">
        <f>1698.5+4824.57</f>
        <v>6523.07</v>
      </c>
    </row>
    <row r="126" spans="1:10" s="38" customFormat="1" ht="60">
      <c r="A126" s="5" t="s">
        <v>240</v>
      </c>
      <c r="B126" s="5" t="s">
        <v>241</v>
      </c>
      <c r="C126" s="6">
        <f t="shared" si="21"/>
        <v>0</v>
      </c>
      <c r="D126" s="6">
        <v>0</v>
      </c>
      <c r="E126" s="6">
        <v>0</v>
      </c>
      <c r="F126" s="6">
        <v>0</v>
      </c>
      <c r="G126" s="6">
        <v>0</v>
      </c>
      <c r="H126" s="6">
        <v>0</v>
      </c>
      <c r="I126" s="6">
        <v>3494.54</v>
      </c>
      <c r="J126" s="6">
        <v>3494.54</v>
      </c>
    </row>
    <row r="127" spans="1:10" s="38" customFormat="1" ht="14.25">
      <c r="A127" s="3" t="s">
        <v>242</v>
      </c>
      <c r="B127" s="3" t="s">
        <v>243</v>
      </c>
      <c r="C127" s="4">
        <f t="shared" si="21"/>
        <v>127.37</v>
      </c>
      <c r="D127" s="4">
        <f>D128</f>
        <v>0</v>
      </c>
      <c r="E127" s="4">
        <f>E128</f>
        <v>0</v>
      </c>
      <c r="F127" s="4">
        <f>F128</f>
        <v>0</v>
      </c>
      <c r="G127" s="4">
        <f aca="true" t="shared" si="24" ref="G127:J128">G128</f>
        <v>0</v>
      </c>
      <c r="H127" s="4">
        <f t="shared" si="24"/>
        <v>0</v>
      </c>
      <c r="I127" s="4">
        <f t="shared" si="24"/>
        <v>0</v>
      </c>
      <c r="J127" s="4">
        <f t="shared" si="24"/>
        <v>127.37</v>
      </c>
    </row>
    <row r="128" spans="1:10" s="38" customFormat="1" ht="28.5">
      <c r="A128" s="3" t="s">
        <v>244</v>
      </c>
      <c r="B128" s="3" t="s">
        <v>245</v>
      </c>
      <c r="C128" s="4">
        <f t="shared" si="21"/>
        <v>127.37</v>
      </c>
      <c r="D128" s="4">
        <f aca="true" t="shared" si="25" ref="D128:F128">D129</f>
        <v>0</v>
      </c>
      <c r="E128" s="4">
        <f t="shared" si="25"/>
        <v>0</v>
      </c>
      <c r="F128" s="4">
        <f t="shared" si="25"/>
        <v>0</v>
      </c>
      <c r="G128" s="4">
        <f t="shared" si="24"/>
        <v>0</v>
      </c>
      <c r="H128" s="4">
        <f t="shared" si="24"/>
        <v>0</v>
      </c>
      <c r="I128" s="4">
        <f t="shared" si="24"/>
        <v>0</v>
      </c>
      <c r="J128" s="4">
        <f>J129</f>
        <v>127.37</v>
      </c>
    </row>
    <row r="129" spans="1:10" s="38" customFormat="1" ht="60">
      <c r="A129" s="5" t="s">
        <v>246</v>
      </c>
      <c r="B129" s="5" t="s">
        <v>247</v>
      </c>
      <c r="C129" s="6">
        <f t="shared" si="21"/>
        <v>127.37</v>
      </c>
      <c r="D129" s="6">
        <v>0</v>
      </c>
      <c r="E129" s="6">
        <v>0</v>
      </c>
      <c r="F129" s="6">
        <v>0</v>
      </c>
      <c r="G129" s="6">
        <v>0</v>
      </c>
      <c r="H129" s="6">
        <v>0</v>
      </c>
      <c r="I129" s="6">
        <v>0</v>
      </c>
      <c r="J129" s="6">
        <v>127.37</v>
      </c>
    </row>
    <row r="130" spans="1:10" s="38" customFormat="1" ht="57">
      <c r="A130" s="3" t="s">
        <v>248</v>
      </c>
      <c r="B130" s="3" t="s">
        <v>249</v>
      </c>
      <c r="C130" s="4">
        <f t="shared" si="21"/>
        <v>0</v>
      </c>
      <c r="D130" s="4">
        <f>D131</f>
        <v>4768.39</v>
      </c>
      <c r="E130" s="30">
        <f>E131</f>
        <v>-2534.98</v>
      </c>
      <c r="F130" s="4">
        <f>F131</f>
        <v>0</v>
      </c>
      <c r="G130" s="4">
        <f aca="true" t="shared" si="26" ref="G130:J131">G131</f>
        <v>29649.78</v>
      </c>
      <c r="H130" s="4">
        <f t="shared" si="26"/>
        <v>0</v>
      </c>
      <c r="I130" s="4">
        <f t="shared" si="26"/>
        <v>0</v>
      </c>
      <c r="J130" s="4">
        <f t="shared" si="26"/>
        <v>31883.19</v>
      </c>
    </row>
    <row r="131" spans="1:10" s="38" customFormat="1" ht="85.5">
      <c r="A131" s="3" t="s">
        <v>250</v>
      </c>
      <c r="B131" s="3" t="s">
        <v>251</v>
      </c>
      <c r="C131" s="4">
        <f t="shared" si="21"/>
        <v>0</v>
      </c>
      <c r="D131" s="4">
        <f aca="true" t="shared" si="27" ref="D131:F131">D132</f>
        <v>4768.39</v>
      </c>
      <c r="E131" s="30">
        <f t="shared" si="27"/>
        <v>-2534.98</v>
      </c>
      <c r="F131" s="4">
        <f t="shared" si="27"/>
        <v>0</v>
      </c>
      <c r="G131" s="4">
        <f>G132</f>
        <v>29649.78</v>
      </c>
      <c r="H131" s="4">
        <f t="shared" si="26"/>
        <v>0</v>
      </c>
      <c r="I131" s="4">
        <f t="shared" si="26"/>
        <v>0</v>
      </c>
      <c r="J131" s="4">
        <f t="shared" si="26"/>
        <v>31883.19</v>
      </c>
    </row>
    <row r="132" spans="1:10" s="38" customFormat="1" ht="30">
      <c r="A132" s="5" t="s">
        <v>252</v>
      </c>
      <c r="B132" s="5" t="s">
        <v>253</v>
      </c>
      <c r="C132" s="6">
        <f t="shared" si="21"/>
        <v>0</v>
      </c>
      <c r="D132" s="6">
        <v>4768.39</v>
      </c>
      <c r="E132" s="32">
        <v>-2534.98</v>
      </c>
      <c r="F132" s="6">
        <v>0</v>
      </c>
      <c r="G132" s="23">
        <v>29649.78</v>
      </c>
      <c r="H132" s="6">
        <v>0</v>
      </c>
      <c r="I132" s="6">
        <v>0</v>
      </c>
      <c r="J132" s="6">
        <f>4768.39-2534.98+29649.78</f>
        <v>31883.19</v>
      </c>
    </row>
    <row r="133" spans="1:10" s="38" customFormat="1" ht="42.75">
      <c r="A133" s="3" t="s">
        <v>254</v>
      </c>
      <c r="B133" s="3" t="s">
        <v>255</v>
      </c>
      <c r="C133" s="4">
        <f t="shared" si="21"/>
        <v>0</v>
      </c>
      <c r="D133" s="4">
        <f aca="true" t="shared" si="28" ref="D133:E133">D134</f>
        <v>0</v>
      </c>
      <c r="E133" s="4">
        <f t="shared" si="28"/>
        <v>0</v>
      </c>
      <c r="F133" s="4">
        <f aca="true" t="shared" si="29" ref="F133">F134</f>
        <v>0</v>
      </c>
      <c r="G133" s="30">
        <f aca="true" t="shared" si="30" ref="G133">G134</f>
        <v>-45681.2</v>
      </c>
      <c r="H133" s="4">
        <f aca="true" t="shared" si="31" ref="H133">H134</f>
        <v>0</v>
      </c>
      <c r="I133" s="4">
        <f aca="true" t="shared" si="32" ref="I133">I134</f>
        <v>0</v>
      </c>
      <c r="J133" s="30">
        <f aca="true" t="shared" si="33" ref="J133">J134</f>
        <v>-45681.2</v>
      </c>
    </row>
    <row r="134" spans="1:10" s="38" customFormat="1" ht="57">
      <c r="A134" s="3" t="s">
        <v>256</v>
      </c>
      <c r="B134" s="3" t="s">
        <v>257</v>
      </c>
      <c r="C134" s="4">
        <f t="shared" si="21"/>
        <v>0</v>
      </c>
      <c r="D134" s="4">
        <f aca="true" t="shared" si="34" ref="D134:E134">D135+D136+D137+D138+D139</f>
        <v>0</v>
      </c>
      <c r="E134" s="4">
        <f t="shared" si="34"/>
        <v>0</v>
      </c>
      <c r="F134" s="4">
        <f aca="true" t="shared" si="35" ref="F134">F135+F136+F137+F138+F139</f>
        <v>0</v>
      </c>
      <c r="G134" s="30">
        <f aca="true" t="shared" si="36" ref="G134">G135+G136+G137+G138+G139</f>
        <v>-45681.2</v>
      </c>
      <c r="H134" s="4">
        <f aca="true" t="shared" si="37" ref="H134">H135+H136+H137+H138+H139</f>
        <v>0</v>
      </c>
      <c r="I134" s="4">
        <f aca="true" t="shared" si="38" ref="I134">I135+I136+I137+I138+I139</f>
        <v>0</v>
      </c>
      <c r="J134" s="30">
        <f aca="true" t="shared" si="39" ref="J134">J135+J136+J137+J138+J139</f>
        <v>-45681.2</v>
      </c>
    </row>
    <row r="135" spans="1:10" s="38" customFormat="1" ht="75">
      <c r="A135" s="5" t="s">
        <v>258</v>
      </c>
      <c r="B135" s="5" t="s">
        <v>259</v>
      </c>
      <c r="C135" s="6">
        <f aca="true" t="shared" si="40" ref="C135:C140">J135-I135-H135-G135-F135-E135-D135</f>
        <v>0</v>
      </c>
      <c r="D135" s="6">
        <v>0</v>
      </c>
      <c r="E135" s="6">
        <v>0</v>
      </c>
      <c r="F135" s="6">
        <v>0</v>
      </c>
      <c r="G135" s="40">
        <v>-16607.08</v>
      </c>
      <c r="H135" s="6">
        <v>0</v>
      </c>
      <c r="I135" s="6">
        <v>0</v>
      </c>
      <c r="J135" s="32">
        <v>-16607.08</v>
      </c>
    </row>
    <row r="136" spans="1:10" s="38" customFormat="1" ht="45">
      <c r="A136" s="5" t="s">
        <v>260</v>
      </c>
      <c r="B136" s="5" t="s">
        <v>261</v>
      </c>
      <c r="C136" s="6">
        <f t="shared" si="40"/>
        <v>0</v>
      </c>
      <c r="D136" s="6">
        <v>0</v>
      </c>
      <c r="E136" s="6">
        <v>0</v>
      </c>
      <c r="F136" s="6">
        <v>0</v>
      </c>
      <c r="G136" s="40">
        <v>-56.19</v>
      </c>
      <c r="H136" s="6">
        <v>0</v>
      </c>
      <c r="I136" s="6">
        <v>0</v>
      </c>
      <c r="J136" s="32">
        <v>-56.19</v>
      </c>
    </row>
    <row r="137" spans="1:10" s="38" customFormat="1" ht="135">
      <c r="A137" s="5" t="s">
        <v>262</v>
      </c>
      <c r="B137" s="5" t="s">
        <v>263</v>
      </c>
      <c r="C137" s="6">
        <f t="shared" si="40"/>
        <v>0</v>
      </c>
      <c r="D137" s="6">
        <v>0</v>
      </c>
      <c r="E137" s="6">
        <v>0</v>
      </c>
      <c r="F137" s="6">
        <v>0</v>
      </c>
      <c r="G137" s="40">
        <v>-59.91</v>
      </c>
      <c r="H137" s="6">
        <v>0</v>
      </c>
      <c r="I137" s="6">
        <v>0</v>
      </c>
      <c r="J137" s="32">
        <v>-59.91</v>
      </c>
    </row>
    <row r="138" spans="1:10" s="38" customFormat="1" ht="75">
      <c r="A138" s="5" t="s">
        <v>264</v>
      </c>
      <c r="B138" s="5" t="s">
        <v>265</v>
      </c>
      <c r="C138" s="6">
        <f t="shared" si="40"/>
        <v>0</v>
      </c>
      <c r="D138" s="6">
        <v>0</v>
      </c>
      <c r="E138" s="6">
        <v>0</v>
      </c>
      <c r="F138" s="6">
        <v>0</v>
      </c>
      <c r="G138" s="40">
        <v>-8544.52</v>
      </c>
      <c r="H138" s="6">
        <v>0</v>
      </c>
      <c r="I138" s="6">
        <v>0</v>
      </c>
      <c r="J138" s="32">
        <v>-8544.52</v>
      </c>
    </row>
    <row r="139" spans="1:10" s="38" customFormat="1" ht="45">
      <c r="A139" s="5" t="s">
        <v>266</v>
      </c>
      <c r="B139" s="5" t="s">
        <v>267</v>
      </c>
      <c r="C139" s="6">
        <f t="shared" si="40"/>
        <v>0</v>
      </c>
      <c r="D139" s="6">
        <v>0</v>
      </c>
      <c r="E139" s="6">
        <v>0</v>
      </c>
      <c r="F139" s="6">
        <v>0</v>
      </c>
      <c r="G139" s="40">
        <v>-20413.5</v>
      </c>
      <c r="H139" s="6">
        <v>0</v>
      </c>
      <c r="I139" s="6">
        <v>0</v>
      </c>
      <c r="J139" s="32">
        <v>-20413.5</v>
      </c>
    </row>
    <row r="140" spans="1:10" s="38" customFormat="1" ht="14.25">
      <c r="A140" s="3"/>
      <c r="B140" s="3" t="s">
        <v>268</v>
      </c>
      <c r="C140" s="4">
        <f t="shared" si="40"/>
        <v>3679898.3099999996</v>
      </c>
      <c r="D140" s="4">
        <f>D6+D56</f>
        <v>235209.95</v>
      </c>
      <c r="E140" s="30">
        <f>E6+E56</f>
        <v>-32492.280000000006</v>
      </c>
      <c r="F140" s="4">
        <f>F6+F56</f>
        <v>35627.24</v>
      </c>
      <c r="G140" s="4">
        <f>G6+G56</f>
        <v>31049.790000000005</v>
      </c>
      <c r="H140" s="4">
        <f>H6+H56</f>
        <v>13592.01</v>
      </c>
      <c r="I140" s="30">
        <v>-103340.34000000003</v>
      </c>
      <c r="J140" s="4">
        <f>J6+J56</f>
        <v>3859544.68</v>
      </c>
    </row>
    <row r="141" ht="12.75">
      <c r="J141" s="14"/>
    </row>
    <row r="142" ht="12.75">
      <c r="J142" s="14"/>
    </row>
    <row r="143" ht="12.75">
      <c r="J143" s="14"/>
    </row>
    <row r="144" ht="12.75">
      <c r="J144" s="14"/>
    </row>
    <row r="145" ht="12.75">
      <c r="J145" s="14"/>
    </row>
    <row r="146" ht="12.75">
      <c r="J146" s="14"/>
    </row>
    <row r="147" ht="12.75">
      <c r="J147" s="14"/>
    </row>
    <row r="148" ht="12.75">
      <c r="J148" s="14"/>
    </row>
    <row r="149" ht="12.75">
      <c r="J149" s="14"/>
    </row>
    <row r="150" ht="12.75">
      <c r="J150" s="14"/>
    </row>
    <row r="151" ht="12.75">
      <c r="J151" s="14"/>
    </row>
    <row r="152" ht="12.75">
      <c r="J152" s="14"/>
    </row>
    <row r="153" ht="12.75">
      <c r="J153" s="14"/>
    </row>
    <row r="154" ht="12.75">
      <c r="J154" s="14"/>
    </row>
    <row r="155" ht="12.75">
      <c r="J155" s="14"/>
    </row>
    <row r="156" ht="12.75">
      <c r="J156" s="14"/>
    </row>
    <row r="157" ht="12.75">
      <c r="J157" s="14"/>
    </row>
    <row r="158" ht="12.75">
      <c r="J158" s="14"/>
    </row>
    <row r="159" ht="12.75">
      <c r="J159" s="14"/>
    </row>
    <row r="160" ht="12.75">
      <c r="J160" s="14"/>
    </row>
  </sheetData>
  <autoFilter ref="A5:J140"/>
  <mergeCells count="2">
    <mergeCell ref="A2:J2"/>
    <mergeCell ref="A3:J3"/>
  </mergeCells>
  <printOptions/>
  <pageMargins left="1.3779527559055118" right="0.3937007874015748" top="0.32" bottom="0.43" header="0" footer="0"/>
  <pageSetup fitToHeight="11"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Сидоренко ОВ</dc:creator>
  <cp:keywords/>
  <dc:description/>
  <cp:lastModifiedBy>Сидоренко ОВ</cp:lastModifiedBy>
  <cp:lastPrinted>2023-07-28T07:23:29Z</cp:lastPrinted>
  <dcterms:created xsi:type="dcterms:W3CDTF">2023-07-27T13:02:22Z</dcterms:created>
  <dcterms:modified xsi:type="dcterms:W3CDTF">2023-07-28T07:41:38Z</dcterms:modified>
  <cp:category/>
  <cp:version/>
  <cp:contentType/>
  <cp:contentStatus/>
</cp:coreProperties>
</file>